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845" yWindow="435" windowWidth="9030" windowHeight="11460" firstSheet="1" activeTab="1"/>
  </bookViews>
  <sheets>
    <sheet name="DV-IDENTITY-0" sheetId="3" state="veryHidden" r:id="rId1"/>
    <sheet name="2012 WP Budget" sheetId="4" r:id="rId2"/>
    <sheet name="Sheet2" sheetId="9" r:id="rId3"/>
  </sheets>
  <definedNames>
    <definedName name="_xlnm.Print_Area">#REF!</definedName>
    <definedName name="_xlnm.Print_Titles" localSheetId="1">'2012 WP Budget'!$1:$1</definedName>
    <definedName name="_xlnm.Print_Titles">#REF!</definedName>
  </definedNames>
  <calcPr calcId="145621"/>
</workbook>
</file>

<file path=xl/calcChain.xml><?xml version="1.0" encoding="utf-8"?>
<calcChain xmlns="http://schemas.openxmlformats.org/spreadsheetml/2006/main">
  <c r="F100" i="4" l="1"/>
  <c r="F52" i="4" l="1"/>
  <c r="F238" i="4"/>
  <c r="F187" i="4" l="1"/>
  <c r="F156" i="4" l="1"/>
  <c r="F241" i="4" s="1"/>
  <c r="F243" i="4" s="1"/>
  <c r="A4" i="3" l="1"/>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BC4" i="3"/>
  <c r="BD4" i="3"/>
  <c r="BE4" i="3"/>
  <c r="BF4" i="3"/>
  <c r="A3" i="3"/>
  <c r="B3" i="3"/>
  <c r="C3" i="3"/>
  <c r="D3" i="3"/>
  <c r="E3" i="3"/>
  <c r="F3" i="3"/>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AQ3" i="3"/>
  <c r="AR3" i="3"/>
  <c r="AS3" i="3"/>
  <c r="AT3" i="3"/>
  <c r="AU3" i="3"/>
  <c r="AV3" i="3"/>
  <c r="AW3" i="3"/>
  <c r="AX3" i="3"/>
  <c r="AY3" i="3"/>
  <c r="AZ3" i="3"/>
  <c r="BA3" i="3"/>
  <c r="BB3" i="3"/>
  <c r="BC3" i="3"/>
  <c r="BD3" i="3"/>
  <c r="BE3" i="3"/>
  <c r="BF3" i="3"/>
  <c r="BG3" i="3"/>
  <c r="BH3" i="3"/>
  <c r="BI3" i="3"/>
  <c r="BJ3" i="3"/>
  <c r="BK3" i="3"/>
  <c r="BL3" i="3"/>
  <c r="BM3" i="3"/>
  <c r="BN3" i="3"/>
  <c r="BO3" i="3"/>
  <c r="BP3" i="3"/>
  <c r="BQ3" i="3"/>
  <c r="BR3" i="3"/>
  <c r="BS3" i="3"/>
  <c r="BT3" i="3"/>
  <c r="BU3" i="3"/>
  <c r="BV3" i="3"/>
  <c r="BW3" i="3"/>
  <c r="BX3" i="3"/>
  <c r="BY3" i="3"/>
  <c r="BZ3" i="3"/>
  <c r="CA3" i="3"/>
  <c r="CB3" i="3"/>
  <c r="CC3" i="3"/>
  <c r="CD3" i="3"/>
  <c r="CE3" i="3"/>
  <c r="CF3" i="3"/>
  <c r="CG3" i="3"/>
  <c r="CH3" i="3"/>
  <c r="CI3" i="3"/>
  <c r="CJ3" i="3"/>
  <c r="CK3" i="3"/>
  <c r="CL3" i="3"/>
  <c r="CM3" i="3"/>
  <c r="CN3" i="3"/>
  <c r="CO3" i="3"/>
  <c r="CP3" i="3"/>
  <c r="CQ3" i="3"/>
  <c r="CR3" i="3"/>
  <c r="CS3" i="3"/>
  <c r="CT3" i="3"/>
  <c r="CU3" i="3"/>
  <c r="CV3" i="3"/>
  <c r="CW3" i="3"/>
  <c r="CX3" i="3"/>
  <c r="CY3" i="3"/>
  <c r="CZ3" i="3"/>
  <c r="DA3" i="3"/>
  <c r="DB3" i="3"/>
  <c r="DC3" i="3"/>
  <c r="DD3" i="3"/>
  <c r="DE3" i="3"/>
  <c r="DF3" i="3"/>
  <c r="DG3" i="3"/>
  <c r="DH3" i="3"/>
  <c r="DI3" i="3"/>
  <c r="DJ3" i="3"/>
  <c r="DK3" i="3"/>
  <c r="DL3" i="3"/>
  <c r="DM3" i="3"/>
  <c r="DN3" i="3"/>
  <c r="DO3" i="3"/>
  <c r="DP3" i="3"/>
  <c r="DQ3" i="3"/>
  <c r="DR3" i="3"/>
  <c r="DS3" i="3"/>
  <c r="DT3" i="3"/>
  <c r="DU3" i="3"/>
  <c r="DV3" i="3"/>
  <c r="DW3" i="3"/>
  <c r="DX3" i="3"/>
  <c r="DY3" i="3"/>
  <c r="DZ3" i="3"/>
  <c r="EA3" i="3"/>
  <c r="EB3" i="3"/>
  <c r="EC3" i="3"/>
  <c r="ED3" i="3"/>
  <c r="EE3" i="3"/>
  <c r="EF3" i="3"/>
  <c r="EG3" i="3"/>
  <c r="EH3" i="3"/>
  <c r="EI3" i="3"/>
  <c r="EJ3" i="3"/>
  <c r="EK3" i="3"/>
  <c r="EL3" i="3"/>
  <c r="EM3" i="3"/>
  <c r="EN3" i="3"/>
  <c r="EO3" i="3"/>
  <c r="EP3" i="3"/>
  <c r="EQ3" i="3"/>
  <c r="ER3" i="3"/>
  <c r="ES3" i="3"/>
  <c r="ET3" i="3"/>
  <c r="EU3" i="3"/>
  <c r="EV3" i="3"/>
  <c r="EW3" i="3"/>
  <c r="EX3" i="3"/>
  <c r="EY3" i="3"/>
  <c r="EZ3" i="3"/>
  <c r="FA3" i="3"/>
  <c r="FB3" i="3"/>
  <c r="FC3" i="3"/>
  <c r="FD3" i="3"/>
  <c r="FE3" i="3"/>
  <c r="FF3" i="3"/>
  <c r="FG3" i="3"/>
  <c r="FH3" i="3"/>
  <c r="FI3" i="3"/>
  <c r="FJ3" i="3"/>
  <c r="FK3" i="3"/>
  <c r="FL3" i="3"/>
  <c r="FM3" i="3"/>
  <c r="FN3" i="3"/>
  <c r="FO3" i="3"/>
  <c r="FP3" i="3"/>
  <c r="FQ3" i="3"/>
  <c r="FR3" i="3"/>
  <c r="FS3" i="3"/>
  <c r="FT3" i="3"/>
  <c r="FU3" i="3"/>
  <c r="FV3" i="3"/>
  <c r="FW3" i="3"/>
  <c r="FX3" i="3"/>
  <c r="FY3" i="3"/>
  <c r="FZ3" i="3"/>
  <c r="GA3" i="3"/>
  <c r="GB3" i="3"/>
  <c r="GC3" i="3"/>
  <c r="GD3" i="3"/>
  <c r="GE3" i="3"/>
  <c r="GF3" i="3"/>
  <c r="GG3" i="3"/>
  <c r="GH3" i="3"/>
  <c r="GI3" i="3"/>
  <c r="GJ3" i="3"/>
  <c r="GK3" i="3"/>
  <c r="GL3" i="3"/>
  <c r="GM3" i="3"/>
  <c r="GN3" i="3"/>
  <c r="GO3" i="3"/>
  <c r="GP3" i="3"/>
  <c r="GQ3" i="3"/>
  <c r="GR3" i="3"/>
  <c r="GS3" i="3"/>
  <c r="GT3" i="3"/>
  <c r="GU3" i="3"/>
  <c r="GV3" i="3"/>
  <c r="GW3" i="3"/>
  <c r="GX3" i="3"/>
  <c r="GY3" i="3"/>
  <c r="GZ3" i="3"/>
  <c r="HA3" i="3"/>
  <c r="HB3" i="3"/>
  <c r="HC3" i="3"/>
  <c r="HD3" i="3"/>
  <c r="HE3" i="3"/>
  <c r="HF3" i="3"/>
  <c r="HG3" i="3"/>
  <c r="HH3" i="3"/>
  <c r="HI3" i="3"/>
  <c r="HJ3" i="3"/>
  <c r="HK3" i="3"/>
  <c r="HL3" i="3"/>
  <c r="HM3" i="3"/>
  <c r="HN3" i="3"/>
  <c r="HO3" i="3"/>
  <c r="HP3" i="3"/>
  <c r="HQ3" i="3"/>
  <c r="HR3" i="3"/>
  <c r="HS3" i="3"/>
  <c r="HT3" i="3"/>
  <c r="HU3" i="3"/>
  <c r="HV3" i="3"/>
  <c r="HW3" i="3"/>
  <c r="HX3" i="3"/>
  <c r="HY3" i="3"/>
  <c r="HZ3" i="3"/>
  <c r="IA3" i="3"/>
  <c r="IB3" i="3"/>
  <c r="IC3" i="3"/>
  <c r="ID3" i="3"/>
  <c r="IE3" i="3"/>
  <c r="IF3" i="3"/>
  <c r="IG3" i="3"/>
  <c r="IH3" i="3"/>
  <c r="II3" i="3"/>
  <c r="IJ3" i="3"/>
  <c r="IK3" i="3"/>
  <c r="IL3" i="3"/>
  <c r="IM3" i="3"/>
  <c r="IN3" i="3"/>
  <c r="IO3" i="3"/>
  <c r="IP3" i="3"/>
  <c r="IQ3" i="3"/>
  <c r="IR3" i="3"/>
  <c r="IS3" i="3"/>
  <c r="IT3" i="3"/>
  <c r="IU3" i="3"/>
  <c r="IV3" i="3"/>
  <c r="A2" i="3"/>
  <c r="B2" i="3"/>
  <c r="C2" i="3"/>
  <c r="D2" i="3"/>
  <c r="E2" i="3"/>
  <c r="F2" i="3"/>
  <c r="G2" i="3"/>
  <c r="H2" i="3"/>
  <c r="I2" i="3"/>
  <c r="J2" i="3"/>
  <c r="K2" i="3"/>
  <c r="L2" i="3"/>
  <c r="M2" i="3"/>
  <c r="N2" i="3"/>
  <c r="O2" i="3"/>
  <c r="P2" i="3"/>
  <c r="Q2" i="3"/>
  <c r="R2" i="3"/>
  <c r="S2" i="3"/>
  <c r="T2" i="3"/>
  <c r="U2" i="3"/>
  <c r="V2" i="3"/>
  <c r="W2" i="3"/>
  <c r="X2" i="3"/>
  <c r="Y2" i="3"/>
  <c r="Z2" i="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R2" i="3"/>
  <c r="BS2" i="3"/>
  <c r="BT2" i="3"/>
  <c r="BU2" i="3"/>
  <c r="BV2" i="3"/>
  <c r="BW2" i="3"/>
  <c r="BX2" i="3"/>
  <c r="BY2" i="3"/>
  <c r="BZ2" i="3"/>
  <c r="CA2" i="3"/>
  <c r="CB2" i="3"/>
  <c r="CC2" i="3"/>
  <c r="CD2" i="3"/>
  <c r="CE2" i="3"/>
  <c r="CF2" i="3"/>
  <c r="CG2" i="3"/>
  <c r="CH2" i="3"/>
  <c r="CI2" i="3"/>
  <c r="CJ2" i="3"/>
  <c r="CK2" i="3"/>
  <c r="CL2" i="3"/>
  <c r="CM2" i="3"/>
  <c r="CN2" i="3"/>
  <c r="CO2" i="3"/>
  <c r="CP2" i="3"/>
  <c r="CQ2" i="3"/>
  <c r="CR2" i="3"/>
  <c r="CS2" i="3"/>
  <c r="CT2" i="3"/>
  <c r="CU2" i="3"/>
  <c r="CV2" i="3"/>
  <c r="CW2" i="3"/>
  <c r="CX2" i="3"/>
  <c r="CY2" i="3"/>
  <c r="CZ2" i="3"/>
  <c r="DA2" i="3"/>
  <c r="DB2" i="3"/>
  <c r="DC2" i="3"/>
  <c r="DD2" i="3"/>
  <c r="DE2" i="3"/>
  <c r="DF2" i="3"/>
  <c r="DG2" i="3"/>
  <c r="DH2" i="3"/>
  <c r="DI2" i="3"/>
  <c r="DJ2" i="3"/>
  <c r="DK2" i="3"/>
  <c r="DL2" i="3"/>
  <c r="DM2" i="3"/>
  <c r="DN2" i="3"/>
  <c r="DO2" i="3"/>
  <c r="DP2" i="3"/>
  <c r="DQ2" i="3"/>
  <c r="DR2" i="3"/>
  <c r="DS2" i="3"/>
  <c r="DT2" i="3"/>
  <c r="DU2" i="3"/>
  <c r="DV2" i="3"/>
  <c r="DW2" i="3"/>
  <c r="DX2" i="3"/>
  <c r="DY2" i="3"/>
  <c r="DZ2" i="3"/>
  <c r="EA2" i="3"/>
  <c r="EB2" i="3"/>
  <c r="EC2" i="3"/>
  <c r="ED2" i="3"/>
  <c r="EE2" i="3"/>
  <c r="EF2" i="3"/>
  <c r="EG2" i="3"/>
  <c r="EH2" i="3"/>
  <c r="EI2" i="3"/>
  <c r="EJ2" i="3"/>
  <c r="EK2" i="3"/>
  <c r="EL2" i="3"/>
  <c r="EM2" i="3"/>
  <c r="EN2" i="3"/>
  <c r="EO2" i="3"/>
  <c r="EP2" i="3"/>
  <c r="EQ2" i="3"/>
  <c r="ER2" i="3"/>
  <c r="ES2" i="3"/>
  <c r="ET2" i="3"/>
  <c r="EU2" i="3"/>
  <c r="EV2" i="3"/>
  <c r="EW2" i="3"/>
  <c r="EX2" i="3"/>
  <c r="EY2" i="3"/>
  <c r="EZ2" i="3"/>
  <c r="FA2" i="3"/>
  <c r="FB2" i="3"/>
  <c r="FC2" i="3"/>
  <c r="FD2" i="3"/>
  <c r="FE2" i="3"/>
  <c r="FF2" i="3"/>
  <c r="FG2" i="3"/>
  <c r="FH2" i="3"/>
  <c r="FI2" i="3"/>
  <c r="FJ2" i="3"/>
  <c r="FK2" i="3"/>
  <c r="FL2" i="3"/>
  <c r="FM2" i="3"/>
  <c r="FN2" i="3"/>
  <c r="FO2" i="3"/>
  <c r="FP2" i="3"/>
  <c r="FQ2" i="3"/>
  <c r="FR2" i="3"/>
  <c r="FS2" i="3"/>
  <c r="FT2" i="3"/>
  <c r="FU2" i="3"/>
  <c r="FV2" i="3"/>
  <c r="FW2" i="3"/>
  <c r="FX2" i="3"/>
  <c r="FY2" i="3"/>
  <c r="FZ2" i="3"/>
  <c r="GA2" i="3"/>
  <c r="GB2" i="3"/>
  <c r="GC2" i="3"/>
  <c r="GD2" i="3"/>
  <c r="GE2" i="3"/>
  <c r="GF2" i="3"/>
  <c r="GG2" i="3"/>
  <c r="GH2" i="3"/>
  <c r="GI2" i="3"/>
  <c r="GJ2" i="3"/>
  <c r="GK2" i="3"/>
  <c r="GL2" i="3"/>
  <c r="GM2" i="3"/>
  <c r="GN2" i="3"/>
  <c r="GO2" i="3"/>
  <c r="GP2" i="3"/>
  <c r="GQ2" i="3"/>
  <c r="GR2" i="3"/>
  <c r="GS2" i="3"/>
  <c r="GT2" i="3"/>
  <c r="GU2" i="3"/>
  <c r="GV2" i="3"/>
  <c r="GW2" i="3"/>
  <c r="GX2" i="3"/>
  <c r="GY2" i="3"/>
  <c r="GZ2" i="3"/>
  <c r="HA2" i="3"/>
  <c r="HB2" i="3"/>
  <c r="HC2" i="3"/>
  <c r="HD2" i="3"/>
  <c r="HE2" i="3"/>
  <c r="HF2" i="3"/>
  <c r="HG2" i="3"/>
  <c r="HH2" i="3"/>
  <c r="HI2" i="3"/>
  <c r="HJ2" i="3"/>
  <c r="HK2" i="3"/>
  <c r="HL2" i="3"/>
  <c r="HM2" i="3"/>
  <c r="HN2" i="3"/>
  <c r="HO2" i="3"/>
  <c r="HP2" i="3"/>
  <c r="HQ2" i="3"/>
  <c r="HR2" i="3"/>
  <c r="HS2" i="3"/>
  <c r="HT2" i="3"/>
  <c r="HU2" i="3"/>
  <c r="HV2" i="3"/>
  <c r="HW2" i="3"/>
  <c r="HX2" i="3"/>
  <c r="HY2" i="3"/>
  <c r="HZ2" i="3"/>
  <c r="IA2" i="3"/>
  <c r="IB2" i="3"/>
  <c r="IC2" i="3"/>
  <c r="ID2" i="3"/>
  <c r="IE2" i="3"/>
  <c r="IF2" i="3"/>
  <c r="IG2" i="3"/>
  <c r="IH2" i="3"/>
  <c r="II2" i="3"/>
  <c r="IJ2" i="3"/>
  <c r="IK2" i="3"/>
  <c r="IL2" i="3"/>
  <c r="IM2" i="3"/>
  <c r="IN2" i="3"/>
  <c r="IO2" i="3"/>
  <c r="IP2" i="3"/>
  <c r="IQ2" i="3"/>
  <c r="IR2" i="3"/>
  <c r="IS2" i="3"/>
  <c r="IT2" i="3"/>
  <c r="IU2" i="3"/>
  <c r="IV2" i="3"/>
  <c r="A1" i="3"/>
  <c r="B1" i="3"/>
  <c r="C1" i="3"/>
  <c r="D1" i="3"/>
  <c r="E1" i="3"/>
  <c r="F1" i="3"/>
  <c r="G1" i="3"/>
  <c r="H1" i="3"/>
  <c r="I1" i="3"/>
  <c r="J1" i="3"/>
  <c r="K1" i="3"/>
  <c r="L1" i="3"/>
  <c r="M1" i="3"/>
  <c r="N1" i="3"/>
  <c r="O1" i="3"/>
  <c r="P1" i="3"/>
  <c r="Q1" i="3"/>
  <c r="R1" i="3"/>
  <c r="S1" i="3"/>
  <c r="T1" i="3"/>
  <c r="U1" i="3"/>
  <c r="V1" i="3"/>
  <c r="W1" i="3"/>
  <c r="X1" i="3"/>
  <c r="Y1" i="3"/>
  <c r="Z1" i="3"/>
  <c r="AA1" i="3"/>
  <c r="AB1" i="3"/>
  <c r="AC1" i="3"/>
  <c r="AD1" i="3"/>
  <c r="AE1" i="3"/>
  <c r="AF1" i="3"/>
  <c r="AG1" i="3"/>
  <c r="AH1" i="3"/>
  <c r="AI1" i="3"/>
  <c r="AJ1" i="3"/>
  <c r="AK1" i="3"/>
  <c r="AL1" i="3"/>
  <c r="AM1" i="3"/>
  <c r="AN1" i="3"/>
  <c r="AO1" i="3"/>
  <c r="AP1" i="3"/>
  <c r="AQ1" i="3"/>
  <c r="AR1" i="3"/>
  <c r="AS1" i="3"/>
  <c r="AT1" i="3"/>
  <c r="AU1" i="3"/>
  <c r="AV1" i="3"/>
  <c r="AW1" i="3"/>
  <c r="AX1" i="3"/>
  <c r="AY1" i="3"/>
  <c r="AZ1" i="3"/>
  <c r="BA1" i="3"/>
  <c r="BB1" i="3"/>
  <c r="BC1" i="3"/>
  <c r="BD1" i="3"/>
  <c r="BE1" i="3"/>
  <c r="BF1" i="3"/>
  <c r="BG1" i="3"/>
  <c r="BH1" i="3"/>
  <c r="BI1" i="3"/>
  <c r="BJ1" i="3"/>
  <c r="BK1" i="3"/>
  <c r="BL1" i="3"/>
  <c r="BM1" i="3"/>
  <c r="BN1" i="3"/>
  <c r="BO1" i="3"/>
  <c r="BP1" i="3"/>
  <c r="BQ1" i="3"/>
  <c r="BR1" i="3"/>
  <c r="BS1" i="3"/>
  <c r="BT1" i="3"/>
  <c r="BU1" i="3"/>
  <c r="BV1" i="3"/>
  <c r="BW1" i="3"/>
  <c r="BX1" i="3"/>
  <c r="BY1" i="3"/>
  <c r="BZ1" i="3"/>
  <c r="CA1" i="3"/>
  <c r="CB1" i="3"/>
  <c r="CC1" i="3"/>
  <c r="CD1" i="3"/>
  <c r="CE1" i="3"/>
  <c r="CF1" i="3"/>
  <c r="CG1" i="3"/>
  <c r="CH1" i="3"/>
  <c r="CI1" i="3"/>
  <c r="CJ1" i="3"/>
  <c r="CK1" i="3"/>
  <c r="CL1" i="3"/>
  <c r="CM1" i="3"/>
  <c r="CN1" i="3"/>
  <c r="CO1" i="3"/>
  <c r="CP1" i="3"/>
  <c r="CQ1" i="3"/>
  <c r="CR1" i="3"/>
  <c r="CS1" i="3"/>
  <c r="CT1" i="3"/>
  <c r="CU1" i="3"/>
  <c r="CV1" i="3"/>
  <c r="CW1" i="3"/>
  <c r="CX1" i="3"/>
  <c r="CY1" i="3"/>
  <c r="CZ1" i="3"/>
  <c r="DA1" i="3"/>
  <c r="DB1" i="3"/>
  <c r="DC1" i="3"/>
  <c r="DD1" i="3"/>
  <c r="DE1" i="3"/>
  <c r="DF1" i="3"/>
  <c r="DG1" i="3"/>
  <c r="DH1" i="3"/>
  <c r="DI1" i="3"/>
  <c r="DJ1" i="3"/>
  <c r="DK1" i="3"/>
  <c r="DL1" i="3"/>
  <c r="DM1" i="3"/>
  <c r="DN1" i="3"/>
  <c r="DO1" i="3"/>
  <c r="DP1" i="3"/>
  <c r="DQ1" i="3"/>
  <c r="DR1" i="3"/>
  <c r="DS1" i="3"/>
  <c r="DT1" i="3"/>
  <c r="DU1" i="3"/>
  <c r="DV1" i="3"/>
  <c r="DW1" i="3"/>
  <c r="DX1" i="3"/>
  <c r="DY1" i="3"/>
  <c r="DZ1" i="3"/>
  <c r="EA1" i="3"/>
  <c r="EB1" i="3"/>
  <c r="EC1" i="3"/>
  <c r="ED1" i="3"/>
  <c r="EE1" i="3"/>
  <c r="EF1" i="3"/>
  <c r="EG1" i="3"/>
  <c r="EH1" i="3"/>
  <c r="EI1" i="3"/>
  <c r="EJ1" i="3"/>
  <c r="EK1" i="3"/>
  <c r="EL1" i="3"/>
  <c r="EM1" i="3"/>
  <c r="EN1" i="3"/>
  <c r="EO1" i="3"/>
  <c r="EP1" i="3"/>
  <c r="EQ1" i="3"/>
  <c r="ER1" i="3"/>
  <c r="ES1" i="3"/>
  <c r="ET1" i="3"/>
  <c r="EU1" i="3"/>
  <c r="EV1" i="3"/>
  <c r="EW1" i="3"/>
  <c r="EX1" i="3"/>
  <c r="EY1" i="3"/>
  <c r="EZ1" i="3"/>
  <c r="FA1" i="3"/>
  <c r="FB1" i="3"/>
  <c r="FC1" i="3"/>
  <c r="FD1" i="3"/>
  <c r="FE1" i="3"/>
  <c r="FF1" i="3"/>
  <c r="FG1" i="3"/>
  <c r="FH1" i="3"/>
  <c r="FI1" i="3"/>
  <c r="FJ1" i="3"/>
  <c r="FK1" i="3"/>
  <c r="FL1" i="3"/>
  <c r="FM1" i="3"/>
  <c r="FN1" i="3"/>
  <c r="FO1" i="3"/>
  <c r="FP1" i="3"/>
  <c r="FQ1" i="3"/>
  <c r="FR1" i="3"/>
  <c r="FS1" i="3"/>
  <c r="FT1" i="3"/>
  <c r="FU1" i="3"/>
  <c r="FV1" i="3"/>
  <c r="FW1" i="3"/>
  <c r="FX1" i="3"/>
  <c r="FY1" i="3"/>
  <c r="FZ1" i="3"/>
  <c r="GA1" i="3"/>
  <c r="GB1" i="3"/>
  <c r="GC1" i="3"/>
  <c r="GD1" i="3"/>
  <c r="GE1" i="3"/>
  <c r="GF1" i="3"/>
  <c r="GG1" i="3"/>
  <c r="GH1" i="3"/>
  <c r="GI1" i="3"/>
  <c r="GJ1" i="3"/>
  <c r="GK1" i="3"/>
  <c r="GL1" i="3"/>
  <c r="GM1" i="3"/>
  <c r="GN1" i="3"/>
  <c r="GO1" i="3"/>
  <c r="GP1" i="3"/>
  <c r="GQ1" i="3"/>
  <c r="GR1" i="3"/>
  <c r="GS1" i="3"/>
  <c r="GT1" i="3"/>
  <c r="GU1" i="3"/>
  <c r="GV1" i="3"/>
  <c r="GW1" i="3"/>
  <c r="GX1" i="3"/>
  <c r="GY1" i="3"/>
  <c r="GZ1" i="3"/>
  <c r="HA1" i="3"/>
  <c r="HB1" i="3"/>
  <c r="HC1" i="3"/>
  <c r="HD1" i="3"/>
  <c r="HE1" i="3"/>
  <c r="HF1" i="3"/>
  <c r="HG1" i="3"/>
  <c r="HH1" i="3"/>
  <c r="HI1" i="3"/>
  <c r="HJ1" i="3"/>
  <c r="HK1" i="3"/>
  <c r="HL1" i="3"/>
  <c r="HM1" i="3"/>
  <c r="HN1" i="3"/>
  <c r="HO1" i="3"/>
  <c r="HP1" i="3"/>
  <c r="HQ1" i="3"/>
  <c r="HR1" i="3"/>
  <c r="HS1" i="3"/>
  <c r="HT1" i="3"/>
  <c r="HU1" i="3"/>
  <c r="HV1" i="3"/>
  <c r="HW1" i="3"/>
  <c r="HX1" i="3"/>
  <c r="HY1" i="3"/>
  <c r="HZ1" i="3"/>
  <c r="IA1" i="3"/>
  <c r="IB1" i="3"/>
  <c r="IC1" i="3"/>
  <c r="ID1" i="3"/>
  <c r="IE1" i="3"/>
  <c r="IF1" i="3"/>
  <c r="IG1" i="3"/>
  <c r="IH1" i="3"/>
  <c r="II1" i="3"/>
  <c r="IJ1" i="3"/>
  <c r="IK1" i="3"/>
  <c r="IL1" i="3"/>
  <c r="IM1" i="3"/>
  <c r="IN1" i="3"/>
  <c r="IO1" i="3"/>
  <c r="IP1" i="3"/>
  <c r="IQ1" i="3"/>
  <c r="IR1" i="3"/>
  <c r="IS1" i="3"/>
  <c r="IT1" i="3"/>
  <c r="IU1" i="3"/>
  <c r="IV1" i="3"/>
</calcChain>
</file>

<file path=xl/sharedStrings.xml><?xml version="1.0" encoding="utf-8"?>
<sst xmlns="http://schemas.openxmlformats.org/spreadsheetml/2006/main" count="887" uniqueCount="614">
  <si>
    <t>The Goal of the program is:  To remain engaged in the Fiji health sector by contributing to the Fiji Ministry of Health’s efforts to achieve its higher level strategic objectives in relation to reducing infant mortality (MDG4), improving maternal health (MDG 5) and the prevention and management of diabetes, as outlined in the MoH's Strategic Plan (2011-2015)</t>
  </si>
  <si>
    <t>Program Goal:</t>
  </si>
  <si>
    <t>Code</t>
  </si>
  <si>
    <t>Program Description</t>
  </si>
  <si>
    <t>Partners</t>
  </si>
  <si>
    <t>Timeframe</t>
  </si>
  <si>
    <t xml:space="preserve"> </t>
  </si>
  <si>
    <t>To support the Fiji MOH to Institutionalise a Safe Motherhood Program at Decentralized Levels.</t>
  </si>
  <si>
    <r>
      <t>Activities</t>
    </r>
    <r>
      <rPr>
        <sz val="11"/>
        <rFont val="Calibri"/>
        <family val="2"/>
        <scheme val="minor"/>
      </rPr>
      <t>:</t>
    </r>
  </si>
  <si>
    <t>1.1.1</t>
  </si>
  <si>
    <t>1.1.2</t>
  </si>
  <si>
    <t>Output 1.2:  Increase in Sub Divisional Hospitals Classified as Mother Safe Hospitals.</t>
  </si>
  <si>
    <t>1.2.1</t>
  </si>
  <si>
    <t>1.2.2</t>
  </si>
  <si>
    <t>1.2.3</t>
  </si>
  <si>
    <t xml:space="preserve">Output 1.3 : Higher proportion of deliveries being carried out in SDH or higher level institutions.    </t>
  </si>
  <si>
    <t>Output 1.4:  Increased Contraceptive Prevalence</t>
  </si>
  <si>
    <t>1.4.1</t>
  </si>
  <si>
    <t>1.4.2</t>
  </si>
  <si>
    <t>1.4.3</t>
  </si>
  <si>
    <t>Output: 1.5 Capacity building and training of health care professionals to ensure the whole spectrum of continuum of care.</t>
  </si>
  <si>
    <t>Activities:</t>
  </si>
  <si>
    <t>1.5.1</t>
  </si>
  <si>
    <t>1.5.2</t>
  </si>
  <si>
    <t>1.5.3</t>
  </si>
  <si>
    <t>1.5.4</t>
  </si>
  <si>
    <t>AAAAAG+/+zI=</t>
  </si>
  <si>
    <t>AAAAAG+/+zM=</t>
  </si>
  <si>
    <t>AAAAAG+/+zQ=</t>
  </si>
  <si>
    <t>AAAAAG+/+zU=</t>
  </si>
  <si>
    <r>
      <t>Activities</t>
    </r>
    <r>
      <rPr>
        <sz val="11"/>
        <rFont val="Calibri"/>
        <family val="2"/>
        <scheme val="minor"/>
      </rPr>
      <t xml:space="preserve">:
</t>
    </r>
  </si>
  <si>
    <t>One Media campaign per quarter to deliver a message that incorporates early booking, promoting birth preparation and complication readiness planning.</t>
  </si>
  <si>
    <t xml:space="preserve">Develop and trial a ‘modified’  early booking kit, to include blood (spot) test for Syphilis and Anaemia for nursing stations and health Centres.
</t>
  </si>
  <si>
    <t xml:space="preserve">Support  4 EmOC workshops (1 training per division x 20 people and 1 National (40).
</t>
  </si>
  <si>
    <t xml:space="preserve">Support 5  SDH’s (As prioritised by National CSN) to address the 7 signal functions for Emergency Obstetric Care (as a component of a ‘Mother Safe’ Facility) . Starting with:
</t>
  </si>
  <si>
    <t xml:space="preserve">Purchasing of Manual Vacuum Aspirators for each of the 5 SDH
</t>
  </si>
  <si>
    <t xml:space="preserve">Supporting the delivery of the  training package.
</t>
  </si>
  <si>
    <t xml:space="preserve">Develop a training package for Family planning for nurses at sub divisional levels (which includes Jadelle implant training) 
</t>
  </si>
  <si>
    <t xml:space="preserve">Media campaign to educate teenagers about safe sex, contraception, prevention HIV/AIDS.
</t>
  </si>
  <si>
    <t xml:space="preserve">Support training for Assessors for Baby Friendly Hospital Initiative (BFHI) to be conducted by the National Nutrition Centre (for 2 staff per subdivision x  20 sub divisions + 5 staff from each  divisional hospital)
</t>
  </si>
  <si>
    <t xml:space="preserve">Monitoring component for the above
</t>
  </si>
  <si>
    <t xml:space="preserve">Support for re-printing training Manuals for BFHI
</t>
  </si>
  <si>
    <t xml:space="preserve">Support existing MOH nurses to undertake Midwifery training using a MOH/FHSSP cost sharing model (FNU 35 places, Sangam 10 places)
</t>
  </si>
  <si>
    <t xml:space="preserve">Work with Obstetric CSN to draft  MOU for FNU/MOH partnership for Nursing and Midwifery training.
</t>
  </si>
  <si>
    <t xml:space="preserve">Support for monitoring the above activities
</t>
  </si>
  <si>
    <t>1.2.4</t>
  </si>
  <si>
    <t>1.2.4.1</t>
  </si>
  <si>
    <t>1.2.4.2</t>
  </si>
  <si>
    <t>1.2.4.3</t>
  </si>
  <si>
    <t>1.2.4.4</t>
  </si>
  <si>
    <t>1.5.5</t>
  </si>
  <si>
    <t>1.5.6</t>
  </si>
  <si>
    <t>1.5.7</t>
  </si>
  <si>
    <t>1.5.8</t>
  </si>
  <si>
    <t>Measure</t>
  </si>
  <si>
    <t>Dependencies/Notes</t>
  </si>
  <si>
    <t>M&amp;E Cross Reference</t>
  </si>
  <si>
    <t>Fiji Accreditation Criteria for 'mothersafe' facility developed.</t>
  </si>
  <si>
    <t>MOH NFNC</t>
  </si>
  <si>
    <t>MOH NFNC UNICEF</t>
  </si>
  <si>
    <t>BFHI Training Manuals Printed.</t>
  </si>
  <si>
    <t>MOU developed and endorsed.</t>
  </si>
  <si>
    <t>FP Training Package for Nurses developed.</t>
  </si>
  <si>
    <t xml:space="preserve">Four media campaign conducted.   </t>
  </si>
  <si>
    <t>MOH, NCHP, Media Outlets</t>
  </si>
  <si>
    <t>Audit completed in all SDHs.</t>
  </si>
  <si>
    <t>Four divisional workshops conducted.</t>
  </si>
  <si>
    <t>Working Committee on PAS established.</t>
  </si>
  <si>
    <t>Five Manual Vacuum Aspirators purchased.</t>
  </si>
  <si>
    <t xml:space="preserve"> PAS Training Package printed and distributed.</t>
  </si>
  <si>
    <t>Four divisional media campaign conducted.</t>
  </si>
  <si>
    <t>Monitoring tool developed.</t>
  </si>
  <si>
    <t>MOH</t>
  </si>
  <si>
    <t>MOH, Purchasing Company</t>
  </si>
  <si>
    <t>MOH, WHO</t>
  </si>
  <si>
    <t>3 months</t>
  </si>
  <si>
    <t>MOH, Obs CSN</t>
  </si>
  <si>
    <t>MOH, FPS</t>
  </si>
  <si>
    <t>MOH, Peer Educators</t>
  </si>
  <si>
    <t>MOH, NFNC</t>
  </si>
  <si>
    <t>MOH, FNU, SANGAM</t>
  </si>
  <si>
    <t>MOH, CSN Obs</t>
  </si>
  <si>
    <t xml:space="preserve">MOH, FNA, </t>
  </si>
  <si>
    <t>MOH, CSN Obs.</t>
  </si>
  <si>
    <t>CSN Obs</t>
  </si>
  <si>
    <t>Operational Costs</t>
  </si>
  <si>
    <t>Travel</t>
  </si>
  <si>
    <t>Workshops and Meetings</t>
  </si>
  <si>
    <t>Materials</t>
  </si>
  <si>
    <t>Local Personnel Costs</t>
  </si>
  <si>
    <t>Infant and Child Health TSO - WHS</t>
  </si>
  <si>
    <t>Infant and Child Health TSO - CEHS</t>
  </si>
  <si>
    <t>Infant and Child Health TSO - NHS</t>
  </si>
  <si>
    <t>To support the Fiji MOH to  institutionalise a 'healthy child' program throughout Fiji</t>
  </si>
  <si>
    <t>2.1.1</t>
  </si>
  <si>
    <t>Determine the steps to consolidate and ensure sustainability of the Expanded Program of Immunisation (EPI) program</t>
  </si>
  <si>
    <t>2.1.1.1</t>
  </si>
  <si>
    <t>New vaccine introduction</t>
  </si>
  <si>
    <t>WHO, UNICEF, JICA, PIPS, MoH</t>
  </si>
  <si>
    <t>Identification of an acceptable sustainable financing solution</t>
  </si>
  <si>
    <t>2.1.1.2</t>
  </si>
  <si>
    <t>Vaccination of 1000 vaccine defaulters</t>
  </si>
  <si>
    <t>WHO, UNICEF, JICA, PIPS, MoH, NZAID</t>
  </si>
  <si>
    <t>2.1.1.3</t>
  </si>
  <si>
    <t>MoH</t>
  </si>
  <si>
    <t>2.1.1.4</t>
  </si>
  <si>
    <t>Coverage data available</t>
  </si>
  <si>
    <t>Planned to be integrated with DHS, however methodology needs to be comparable to previous coverage survey</t>
  </si>
  <si>
    <t>2.1.1.5</t>
  </si>
  <si>
    <t xml:space="preserve">Micro planning workshops </t>
  </si>
  <si>
    <t>3 workshop conducted</t>
  </si>
  <si>
    <t>2.1.1.6</t>
  </si>
  <si>
    <t xml:space="preserve">PIPS workshop </t>
  </si>
  <si>
    <t>Workshop attended and linages with partners maintained</t>
  </si>
  <si>
    <t>Workshop is held in 2012</t>
  </si>
  <si>
    <t>2.1.1.7</t>
  </si>
  <si>
    <t>Public Health Association of Australia Immunisation Conference &amp; linkages with PHAA established with PHA Fiji established</t>
  </si>
  <si>
    <t>Conference attended Linkages with PHAA established and sub PHA of Fiji developed</t>
  </si>
  <si>
    <t>PHAA</t>
  </si>
  <si>
    <t>2.1.1.8</t>
  </si>
  <si>
    <t>VPD surveillance system established</t>
  </si>
  <si>
    <t>Mataika House, WHO, MoH</t>
  </si>
  <si>
    <t>Mataika House must take the lead and MoH to take over funding on 2013</t>
  </si>
  <si>
    <t>2.2.1</t>
  </si>
  <si>
    <t>Expand and/or reinforce the Integrated Management of Childhood Illnesses (IMCI) training program</t>
  </si>
  <si>
    <t>2.2.1.1</t>
  </si>
  <si>
    <t>Development of standardised IMCI policies and procedures for nurses [?include in nurses scope of practice]</t>
  </si>
  <si>
    <t>IMCI protocol included in SOP</t>
  </si>
  <si>
    <t>SOP completed in 2012</t>
  </si>
  <si>
    <t>2.2.1.2</t>
  </si>
  <si>
    <t>Train IMCI supervisors [SDHS/SDMO/DHS] to provide essential supervision, assessment and provision of appropriate equipment</t>
  </si>
  <si>
    <t>IMCI supervisors trained</t>
  </si>
  <si>
    <t>MoH, UNICEF, WHO</t>
  </si>
  <si>
    <t>Paediatric department being able to develop a modified IMCI course for supervisors</t>
  </si>
  <si>
    <t>2.2.1.3</t>
  </si>
  <si>
    <t>Identify divisional IMCI champions to take over the  training</t>
  </si>
  <si>
    <t>IMCI training is coordinated by divisional public health</t>
  </si>
  <si>
    <t>Divisions recognise need to lead the IMCI training</t>
  </si>
  <si>
    <t>2.2.1.4</t>
  </si>
  <si>
    <t>IMCI facilitators training</t>
  </si>
  <si>
    <t>Additional 20 IMCI facilitators trained, IMCI successfully being carried out without dependency on CWMH</t>
  </si>
  <si>
    <t>2.2.1.5</t>
  </si>
  <si>
    <t>IMCI training</t>
  </si>
  <si>
    <t>Training conducted, IMCI trained staff in each sub division</t>
  </si>
  <si>
    <t>2.2.1.6</t>
  </si>
  <si>
    <t>IMCI attachments</t>
  </si>
  <si>
    <t>Attachments conducted in each division</t>
  </si>
  <si>
    <t xml:space="preserve">MoH identifies staff who require attachment and can release them from their station for the attachment </t>
  </si>
  <si>
    <t>Output 2.3: Capacity building and training of health care professionals to ensure whole of spectrum of continuum of care</t>
  </si>
  <si>
    <t>2.3.1</t>
  </si>
  <si>
    <t xml:space="preserve">CSN Paediatrics to meetings  </t>
  </si>
  <si>
    <t xml:space="preserve">CSN meets </t>
  </si>
  <si>
    <t>2.3.2</t>
  </si>
  <si>
    <t>Nutrition</t>
  </si>
  <si>
    <t xml:space="preserve">IYCF TOT conducted in each division </t>
  </si>
  <si>
    <t>Nutrition department able to deliver the training</t>
  </si>
  <si>
    <t>2.3.3</t>
  </si>
  <si>
    <t>Oral Health</t>
  </si>
  <si>
    <t xml:space="preserve">capacity building workshop conducted </t>
  </si>
  <si>
    <t>2.3.4</t>
  </si>
  <si>
    <t>Child Health Specialist Nurses</t>
  </si>
  <si>
    <t>10 Nurses certified at child health specialists</t>
  </si>
  <si>
    <t>Specialty to be recognised as a specialist discipline</t>
  </si>
  <si>
    <t>2.3.5</t>
  </si>
  <si>
    <t>PLS &amp; APLS training</t>
  </si>
  <si>
    <t>Training completed</t>
  </si>
  <si>
    <t>APLS will require an instructor from Aust</t>
  </si>
  <si>
    <t>2.3.6</t>
  </si>
  <si>
    <t>Pocket Book training</t>
  </si>
  <si>
    <t>Paediatric department availability</t>
  </si>
  <si>
    <t>2.3.7</t>
  </si>
  <si>
    <t>Malnutrition</t>
  </si>
  <si>
    <t xml:space="preserve">Study results available </t>
  </si>
  <si>
    <t>2.4.1</t>
  </si>
  <si>
    <t>Review guidelines and protocols, working with the paediatric team at CWMH to identify and document all existing policies &amp; CPG</t>
  </si>
  <si>
    <t>Neonatal Guidelines and protocols reviewed and best guidelines identified</t>
  </si>
  <si>
    <t>MoH, Paed Department</t>
  </si>
  <si>
    <t>2.4.2</t>
  </si>
  <si>
    <t>Decentralised levels are better equipped to treat paediatric clients</t>
  </si>
  <si>
    <t>MoH,  Paed Department</t>
  </si>
  <si>
    <t>Equipment priorities identified by Paed CSN</t>
  </si>
  <si>
    <t>2.4.3</t>
  </si>
  <si>
    <t>Neonatal attachments</t>
  </si>
  <si>
    <t>Facilitator Costs</t>
  </si>
  <si>
    <t>TSO travel &amp; other expenses</t>
  </si>
  <si>
    <t>Auditing of NCD Tool Kits, SOPDs &amp; training needs in eight (8) other SDH and Health Centres</t>
  </si>
  <si>
    <t>Number of facilities audited</t>
  </si>
  <si>
    <t>MOH Staff at SDH &amp; HCs</t>
  </si>
  <si>
    <t xml:space="preserve">Support the development and implementation of the proposals for upgrade </t>
  </si>
  <si>
    <t>Number of facilities fully upgraded</t>
  </si>
  <si>
    <t>Timely development &amp; submission of proposals by SD &amp; HC</t>
  </si>
  <si>
    <t>Purchasing &amp; replacing equipment in the NCD Tool Kits in all audited facilities</t>
  </si>
  <si>
    <t>No of facilities with fully operational NCD T/Ks</t>
  </si>
  <si>
    <t>Timely acquisition of equipment (most imported from overseas)</t>
  </si>
  <si>
    <t>Screening of 'at risk' population commenced in identified sites &amp; developing registers to record SNAP Interventions</t>
  </si>
  <si>
    <t>No of facilities implementing screening &amp; SNAP registers</t>
  </si>
  <si>
    <t>MOH Staff at HCs &amp; NS</t>
  </si>
  <si>
    <t>Reviewing the Green Prescription</t>
  </si>
  <si>
    <t>MOH Staff at SDH, HCs &amp; NSs</t>
  </si>
  <si>
    <t>Availability of participants/ facilitators</t>
  </si>
  <si>
    <t>No of sites conducting screening</t>
  </si>
  <si>
    <t>April &amp; Nov</t>
  </si>
  <si>
    <t>Availability of HCW</t>
  </si>
  <si>
    <t>Healthy Eating &amp; Physical Activity programs</t>
  </si>
  <si>
    <t>No of sites conducting this program</t>
  </si>
  <si>
    <t>MOH Staff at NCHP &amp; Div Level</t>
  </si>
  <si>
    <t>Support training in &amp; distribution of NCD Tool Kits &amp;  related Educational Materials in identified sites</t>
  </si>
  <si>
    <t>No of sites fully operational</t>
  </si>
  <si>
    <t>Ensuring updated registers of people with DM &amp; HT at SDH &amp; HC SOPDs</t>
  </si>
  <si>
    <t>No of sites with registers</t>
  </si>
  <si>
    <t>Collaborating with major stakeholders to support NCD prevention activities (e.g. HPS)</t>
  </si>
  <si>
    <t>Meetings attended &amp; support provided</t>
  </si>
  <si>
    <t>Details of collaboration not clear at present</t>
  </si>
  <si>
    <t>Supporting NCD Screening activities &amp; SNAP intervention at workplaces</t>
  </si>
  <si>
    <t>MOH , NCHP, WP OHS Com</t>
  </si>
  <si>
    <t>Number of requests received &amp; type of support needed</t>
  </si>
  <si>
    <t xml:space="preserve"> MOH Staff at SDH &amp; HCs</t>
  </si>
  <si>
    <t>Quarterly</t>
  </si>
  <si>
    <t>Monitoring &amp; Audit Tool in place.</t>
  </si>
  <si>
    <t>Tool developed</t>
  </si>
  <si>
    <t xml:space="preserve">More facilities, in all divisions, identified for auditing and upgrade
</t>
  </si>
  <si>
    <t>List agreed to in the first Div Plus meeting</t>
  </si>
  <si>
    <t>DMOs &amp; SDMOs</t>
  </si>
  <si>
    <t>Agreement by MOH Executive staff</t>
  </si>
  <si>
    <t>Minimum standards for providing quality diabetes management  services established.</t>
  </si>
  <si>
    <t xml:space="preserve">Draft standard in place </t>
  </si>
  <si>
    <t>Diabetes CSN</t>
  </si>
  <si>
    <t>Agreement by Diabetes CSN &amp; MOH Executive staff</t>
  </si>
  <si>
    <t xml:space="preserve">Appropriate training conducted with appropriate tools for documentation and reporting.
</t>
  </si>
  <si>
    <t>3 per quarter</t>
  </si>
  <si>
    <t>Availability of facilitators/ trainers mainly specialist clinicians</t>
  </si>
  <si>
    <t>Needs assessment for other resource materials conducted</t>
  </si>
  <si>
    <t>Assessment tool / template developed</t>
  </si>
  <si>
    <t>SD &amp; HC Staff of MOH</t>
  </si>
  <si>
    <t>Purchase SNAKE screening equipment &amp; consumables</t>
  </si>
  <si>
    <t>Proof of agreed list &amp; purchase</t>
  </si>
  <si>
    <t>Need Diabetes CSN to agree to a minimum standard for equipment</t>
  </si>
  <si>
    <t>Support an Audit of NCD Care services at Divisional Hospital SOPDs</t>
  </si>
  <si>
    <t>August</t>
  </si>
  <si>
    <t>Need Medical CSN to partner with maybe FNU</t>
  </si>
  <si>
    <t>Support quarterly meetings of the Diabetes CSN</t>
  </si>
  <si>
    <t>Schedule of Meetings agreed to</t>
  </si>
  <si>
    <t>Availability of the clinicians</t>
  </si>
  <si>
    <t>Support the Implementation of the roles, responsibilities and functions of the NDC &amp; The NCD HUBs as endorsed by NHEC</t>
  </si>
  <si>
    <t xml:space="preserve">Draft proposal developed </t>
  </si>
  <si>
    <t>Availability of the HR component from MOH before the other components can be implemented</t>
  </si>
  <si>
    <t>Draft Capacity Building proposal developed</t>
  </si>
  <si>
    <t xml:space="preserve">Purchase appropriate equipment &amp; consumables.
</t>
  </si>
  <si>
    <t>Draft list developed</t>
  </si>
  <si>
    <t>Audit and develop appropriate resource materials</t>
  </si>
  <si>
    <t>Develop &amp; Implement a training plan for all cadre of HCW at identified health facilities</t>
  </si>
  <si>
    <t>Draft training plan developed</t>
  </si>
  <si>
    <t>Support other identified training  such as Podiatry, Clin  attachments</t>
  </si>
  <si>
    <t>Draft plan</t>
  </si>
  <si>
    <t>Timely submission from appropriate MOH Staff, TSOs at divisional level will be very helpful.</t>
  </si>
  <si>
    <t>Purchasing other identified training &amp; educational tools e.g. Food Models, Charts</t>
  </si>
  <si>
    <t>Proposed List available</t>
  </si>
  <si>
    <t>Timely submission from appropriate MOH Staff</t>
  </si>
  <si>
    <t>4.1.1</t>
  </si>
  <si>
    <t>Training package translated, printed and distributed to the training of trainers</t>
  </si>
  <si>
    <t>MOH, JICA (NBT)</t>
  </si>
  <si>
    <t>Jan - Mar</t>
  </si>
  <si>
    <t>4.1.2</t>
  </si>
  <si>
    <t>Facilitate the procurement of tool kits</t>
  </si>
  <si>
    <t>Tool kits procured and available for use</t>
  </si>
  <si>
    <t xml:space="preserve">MOH </t>
  </si>
  <si>
    <t>Nov</t>
  </si>
  <si>
    <t>4.1.3</t>
  </si>
  <si>
    <t xml:space="preserve">Strengthen partnership with key stakeholders at National and Divisional level </t>
  </si>
  <si>
    <t>Number of actively engaged key stakeholders in the revitalisation process increase</t>
  </si>
  <si>
    <t>MOH, GOF, NGOs, FSM, FSN, JICA, WHO, USAID, Peace Corp, Town Councils and etc</t>
  </si>
  <si>
    <t>Jun</t>
  </si>
  <si>
    <t xml:space="preserve">Output 4.2: Increases community ownership of and engagement in Primary Health Care </t>
  </si>
  <si>
    <t>Proportion of Community Profile established</t>
  </si>
  <si>
    <t>MOH, Ministry of Itaukei, Town Councils and the community</t>
  </si>
  <si>
    <t>4.2.2</t>
  </si>
  <si>
    <t>Number of health promotion activities implemented</t>
  </si>
  <si>
    <t>4.3.1</t>
  </si>
  <si>
    <t>Training of trainers</t>
  </si>
  <si>
    <t>Number of trained CHW trainers, Number of subdivision with trained CHW trainers</t>
  </si>
  <si>
    <t>4.3.2</t>
  </si>
  <si>
    <t>Roll out of CHW training</t>
  </si>
  <si>
    <t>To strengthen key components of the health system to support decentralised service delivery.</t>
  </si>
  <si>
    <t>5.1.1</t>
  </si>
  <si>
    <t>5.1.2</t>
  </si>
  <si>
    <t>5.1.3</t>
  </si>
  <si>
    <t>5.2.1</t>
  </si>
  <si>
    <t>5.3.1</t>
  </si>
  <si>
    <t>5.3.2</t>
  </si>
  <si>
    <t>5.4.1</t>
  </si>
  <si>
    <t>5.5.1</t>
  </si>
  <si>
    <t>5.5.2</t>
  </si>
  <si>
    <t>5.5.3</t>
  </si>
  <si>
    <t>1.3.1</t>
  </si>
  <si>
    <t>1.3.2</t>
  </si>
  <si>
    <t>1.3.3</t>
  </si>
  <si>
    <t>Output 2.1:  EPI Program strengthening - Systems in place to maintain Expanded Program of Immunisation (EPI) rates greater than 90%</t>
  </si>
  <si>
    <t>Output 2.4:  Reduce peri-natal mortality - Child health to be more focused on reducing peri-natal mortality.</t>
  </si>
  <si>
    <t>Output 3.1:  Population Screening - Improving the detection of undiagnosed DM &amp; HT cases through population screening.  Implementing SNAP preventive activities</t>
  </si>
  <si>
    <t>3.1.1</t>
  </si>
  <si>
    <t>3.1.2</t>
  </si>
  <si>
    <t>3.1.3</t>
  </si>
  <si>
    <t>Timely development &amp; submission of proposals by SD &amp; HC. Availability of HCW for screening</t>
  </si>
  <si>
    <t>3.1.4</t>
  </si>
  <si>
    <t>3.1.5</t>
  </si>
  <si>
    <t>3.1.6</t>
  </si>
  <si>
    <t>3.1.7</t>
  </si>
  <si>
    <t>3.1.8</t>
  </si>
  <si>
    <t>3.1.9</t>
  </si>
  <si>
    <t>3.1.10</t>
  </si>
  <si>
    <t>Output 3.2: Personal Diabetes Record Book - Introducing a personal Diabetes care record booklet to ensure continuum of care for patients who have a variety of service providers.</t>
  </si>
  <si>
    <t>3.2.1</t>
  </si>
  <si>
    <t>3.2.2</t>
  </si>
  <si>
    <t>Output 3.3: Establish Quality Diabetes centres at Sub-divisional Level &amp; major health centres - Strengthening management of Diabetes &amp; its complications at Diabetes (NCD) HUBs, SDH &amp; HC levels. Improving facilities for more advanced diabetic care including outreach diabetic retinopathy &amp; debridement.</t>
  </si>
  <si>
    <t>3.3.1</t>
  </si>
  <si>
    <t>3.3.2</t>
  </si>
  <si>
    <t>3.3.3</t>
  </si>
  <si>
    <t>3.3.4</t>
  </si>
  <si>
    <t>3.3.5</t>
  </si>
  <si>
    <t>3.3.6</t>
  </si>
  <si>
    <t>3.3.7</t>
  </si>
  <si>
    <t xml:space="preserve">Output 3.4: Strengthen the role of the National Diabetes Centre &amp; the NCD HUBs - Strengthening the role of the NDC to function as a focal point for policy &amp; Training, and the support NCD HUBs as specialist referral centres for the divisions.
</t>
  </si>
  <si>
    <t>3.4.1</t>
  </si>
  <si>
    <t>3.4.2</t>
  </si>
  <si>
    <t>3.4.3</t>
  </si>
  <si>
    <t>3.4.4</t>
  </si>
  <si>
    <t>3.4.5</t>
  </si>
  <si>
    <t>Output: 3.5: Capacity Building and Training -Training &amp; Capacity building of the health care workers to prevent, screen and manage NCDs (especially DM &amp; HT) effectively &amp; provide continuum of care. 
Also to provide capacity Building support to the Community Health Workers.</t>
  </si>
  <si>
    <t>3.5.1</t>
  </si>
  <si>
    <t>3.5.2</t>
  </si>
  <si>
    <t>3.5.3</t>
  </si>
  <si>
    <t>3.5.4</t>
  </si>
  <si>
    <t>Output 4.1: Revitalisation of V/CHW Training - An effective system of trained and resourced VHW/CHW who are able to promote public health practices and health seeking behaviours, provide basic first aid, and effectively refer patients to the next level of health services</t>
  </si>
  <si>
    <t>Output 5.1:  Functional Public Health Information System (PHIS). - PHIS provides timely, complete and accurate information for all Fijians that is being used to measure public health outcomes and plan future activities</t>
  </si>
  <si>
    <t>Output 4.3: An increase in the number of VHW/CHW trained - Effectively trained VHW/CHW who are able to meet the health needs of their respective rural and urban communities</t>
  </si>
  <si>
    <t>Output 1.1:  Increased Antenatal Coverage - An increasing number of women routinely presenting for first ante-natal check-up [ANC] in the first trimester.</t>
  </si>
  <si>
    <t>Output 2.2: IMIC Training leads to more secondary paediatric care at Sub-Divisional level - Comprehensive training in IMCI leading to more secondary level paediatric care being safely carried out at SDH level or below</t>
  </si>
  <si>
    <t>Objective Specific Operating Costs (stationary, cars phones (?) etc)</t>
  </si>
  <si>
    <t>Jan - April</t>
  </si>
  <si>
    <t>Early booking Kit developed. One pilot per division (at subdivision level) completed</t>
  </si>
  <si>
    <t>Jan - Dec</t>
  </si>
  <si>
    <t>May - July</t>
  </si>
  <si>
    <t>Contract</t>
  </si>
  <si>
    <t>Jan - Feb</t>
  </si>
  <si>
    <t>Feb - April</t>
  </si>
  <si>
    <t>March - Oct</t>
  </si>
  <si>
    <t>Support development, printing and distribution of Obs. CPG:</t>
  </si>
  <si>
    <t>Support distribution, awareness and training of FP Training Package for Nurses</t>
  </si>
  <si>
    <t>July - November</t>
  </si>
  <si>
    <t>training package at 1.4.1 being developed.</t>
  </si>
  <si>
    <t>Jan - Sept</t>
  </si>
  <si>
    <t>April - July</t>
  </si>
  <si>
    <t>Feb - Dec</t>
  </si>
  <si>
    <t>April - Dec</t>
  </si>
  <si>
    <t>2,000 / month</t>
  </si>
  <si>
    <t>$500 / month</t>
  </si>
  <si>
    <t>Objective Specific Operating Costs</t>
  </si>
  <si>
    <t>Workshops &amp; Meetings</t>
  </si>
  <si>
    <t>FSMed / MoH</t>
  </si>
  <si>
    <t>3.3.2.1</t>
  </si>
  <si>
    <t>WHO, SPC, community groups</t>
  </si>
  <si>
    <t>Distribution lists showing progress quarterly</t>
  </si>
  <si>
    <t xml:space="preserve">Distribution of PDRB to all identified sites.  Records kept of distribution to all identified sites and re-prints. </t>
  </si>
  <si>
    <t xml:space="preserve">Adequate HCW conducting clinics.  Adequate handing over when HCW change. </t>
  </si>
  <si>
    <t>Support appropriate capacity building</t>
  </si>
  <si>
    <t>Draft Plan for outreach developed</t>
  </si>
  <si>
    <t>Strengthen Outreach services through planning and possible transport options.</t>
  </si>
  <si>
    <t>Medical CSN, SDMOs</t>
  </si>
  <si>
    <t>Medical CSN</t>
  </si>
  <si>
    <t>Timely submission from appropriate MOH Staff. Development of curriculum.</t>
  </si>
  <si>
    <t>VPD Surveillance Officer to establish system [MoH to take over funding in 2013]</t>
  </si>
  <si>
    <t>Oral health team able to deliver the training</t>
  </si>
  <si>
    <t>Pocket book training conducted and reaches every sub division</t>
  </si>
  <si>
    <t xml:space="preserve">Reduction in hospitalised malnutrition cases </t>
  </si>
  <si>
    <t>Divisions identify those that require attachments</t>
  </si>
  <si>
    <t>July - Dec</t>
  </si>
  <si>
    <t xml:space="preserve">Jan - March  </t>
  </si>
  <si>
    <t xml:space="preserve">Timing of endorsement of training manual. </t>
  </si>
  <si>
    <t xml:space="preserve">TF with support </t>
  </si>
  <si>
    <t>4.2.1.2</t>
  </si>
  <si>
    <t>4.2.1.1</t>
  </si>
  <si>
    <t>Training in community health action plan</t>
  </si>
  <si>
    <t>Community Level</t>
  </si>
  <si>
    <t>March - Dec</t>
  </si>
  <si>
    <t>Divisional business plans</t>
  </si>
  <si>
    <t>Feb - March</t>
  </si>
  <si>
    <t xml:space="preserve">MOH, JICA </t>
  </si>
  <si>
    <t>March - October</t>
  </si>
  <si>
    <t>Proportion of CHW trained and resourced</t>
  </si>
  <si>
    <t>4.4.1</t>
  </si>
  <si>
    <t>Training of supervisors</t>
  </si>
  <si>
    <t>Based on JICA timing</t>
  </si>
  <si>
    <t>MoH, JICA</t>
  </si>
  <si>
    <t>March - July</t>
  </si>
  <si>
    <t>Monitoring of  CHW activities</t>
  </si>
  <si>
    <t>Based on 4.5.1</t>
  </si>
  <si>
    <t>PHIS STA</t>
  </si>
  <si>
    <t>$350 / month</t>
  </si>
  <si>
    <t>TSO -Facilities</t>
  </si>
  <si>
    <t>TSO - CPG</t>
  </si>
  <si>
    <t>National Training Package for Doctors on PAS developed.</t>
  </si>
  <si>
    <t>Carry out recommendations of Gap Survey (i.e. survey of gaps in specific areas of MCH and obstetric services as SDH's completed in 2011)</t>
  </si>
  <si>
    <t>Awareness and training on CPG Obstetric Emergencies at subdivisional level.</t>
  </si>
  <si>
    <t>proportion of SDH Nurses training on FP Training Package</t>
  </si>
  <si>
    <t>3 Divisional Training conducted Fifty-five Assessors completed training.</t>
  </si>
  <si>
    <t>Five staff per division completed clinical up skilling attachment. Two midwives outreach per division conducted.</t>
  </si>
  <si>
    <t>Monitoring tool designed.</t>
  </si>
  <si>
    <t>Reviewed by August 2012</t>
  </si>
  <si>
    <t>Focused population screening during World Health Day (April) &amp; World Diabetes Day (Nov)</t>
  </si>
  <si>
    <t>Audit tool developed</t>
  </si>
  <si>
    <t xml:space="preserve">Purchase accredited training from training institutes such as WHO, SPC, FNU, </t>
  </si>
  <si>
    <t>Support MOH in further strengthening of the CHW training package including tool kits and M&amp;E framework. (A local contractor will be recruited to undertake the translation and current TSO will conduct TOT after endorsement of the manual)</t>
  </si>
  <si>
    <t xml:space="preserve">Non inclusion of clinical set for CWM. </t>
  </si>
  <si>
    <t xml:space="preserve">Stakeholder engagement. </t>
  </si>
  <si>
    <t>Provide support to DMO North in facilitating the establishment of health status baseline of four comminutes as part of training of trainers (1 peri-urban setting, 1 non-indigenous remote setting)</t>
  </si>
  <si>
    <t>Technical Assistance</t>
  </si>
  <si>
    <t>LTA Monitoring and Planning</t>
  </si>
  <si>
    <t>Develop accreditation criteria for ‘mother safe’ facility, based on  WHO 12 point Checklist</t>
  </si>
  <si>
    <t xml:space="preserve">Audit all SDH  against the WHO 12 point checklist for ‘mother safe’ facility status.
</t>
  </si>
  <si>
    <t xml:space="preserve">Setting up of Post Miscarriage Services
</t>
  </si>
  <si>
    <t xml:space="preserve">Developing a National Training package for SDH Doctors to provide Post Miscarriage Services
</t>
  </si>
  <si>
    <t>Costs (FJD)</t>
  </si>
  <si>
    <t>$830 / month</t>
  </si>
  <si>
    <t xml:space="preserve">New vaccines are introduced </t>
  </si>
  <si>
    <t>Training of all nurses new to EPI competed in all 3 divisions</t>
  </si>
  <si>
    <t>Equipment procurement [based on requirements found from 2011 audit].  Funding to be rolled over from 2011.</t>
  </si>
  <si>
    <t>$20,80 / month</t>
  </si>
  <si>
    <t>$420 / month</t>
  </si>
  <si>
    <t>TSO - NCD Tool Kit, SOPD &amp; TNA - North</t>
  </si>
  <si>
    <t>TSO - NCD Tool Kit, SOPD &amp; TNA - West</t>
  </si>
  <si>
    <t>TSO - NCD Tool Kit, SOPD &amp; TNA - Central / Eastern</t>
  </si>
  <si>
    <t>Curriculum Development / Dip in Diabetes Management</t>
  </si>
  <si>
    <t>TSO - Training Package</t>
  </si>
  <si>
    <t>Total Program</t>
  </si>
  <si>
    <t>OUTPUT 5.1 FUNCTIONAL PUBLIC HEALTH INFORMATION SYSTEM [PHIS]</t>
  </si>
  <si>
    <t xml:space="preserve">  </t>
  </si>
  <si>
    <t>The Public Health information System provides complete, timely, and accurate information to  stakeholders  to be used to  measure public health outcomes and plan future activities at Central and decentralized levels.</t>
  </si>
  <si>
    <t>Activities</t>
  </si>
  <si>
    <t>Revised tools endorsed by the NHIC</t>
  </si>
  <si>
    <t>MOH (HIU) &amp; GMU</t>
  </si>
  <si>
    <t>Jan – Jun</t>
  </si>
  <si>
    <t>Data collation tools in place and providing reports locally and data to national level</t>
  </si>
  <si>
    <t>MOH – Divisional Level</t>
  </si>
  <si>
    <t>MoH to arrange consultations to determine desired functionality at Divisional level</t>
  </si>
  <si>
    <t>Conduct training in data collection and analysis and use [presentation skills]</t>
  </si>
  <si>
    <t xml:space="preserve">Proportion of facilities with trained staff in new process and tools </t>
  </si>
  <si>
    <t>FNU,MOH, Global Fund</t>
  </si>
  <si>
    <t>MoH to identify staff to be trained and provide logistics support for training</t>
  </si>
  <si>
    <t>Jan – Dec</t>
  </si>
  <si>
    <t>5.1.4</t>
  </si>
  <si>
    <t>Jan - Jun</t>
  </si>
  <si>
    <t>Output 5.2: OPERATIONAL RESEARCH PROVIDES INFORMATION TO SUPPORT EVIDENCED –BASED POLICY AND PLANNING OF HEALTH SERVICES IN THE URBAN AND PERIURBAN AREAS.</t>
  </si>
  <si>
    <t>5.2.1.1</t>
  </si>
  <si>
    <t>Strengthen long term MoH research capacity through courses and partnering/mentoring with FNU CMNHS Research Unit.  Locally engaged TA through FNU.</t>
  </si>
  <si>
    <t>MOH, FNU(CMNHS)</t>
  </si>
  <si>
    <t>MOH &amp; FNU (CMNHS)</t>
  </si>
  <si>
    <t>Jan –Jun</t>
  </si>
  <si>
    <t>OUTPUT 5.3 IMPLEMENTATION OF CLINICAL SERVICES PLAN ACTIVITIES</t>
  </si>
  <si>
    <t>Implementation of clinical services plan activities including role delineation, clinical services networks and short term clinical attachment  and support  Risk management ,Quality improvement  in capacity building</t>
  </si>
  <si>
    <t>ACTIVITIES</t>
  </si>
  <si>
    <t>5.3.3</t>
  </si>
  <si>
    <t>MOH –DSHS &amp; PHSS</t>
  </si>
  <si>
    <t>5.3.4</t>
  </si>
  <si>
    <t>Health Symposium</t>
  </si>
  <si>
    <t>Health Symposium held</t>
  </si>
  <si>
    <t>FNU (CMNHS), MOH</t>
  </si>
  <si>
    <t>Support capacity building for Health System Standard in Infection Control, Risk Management &amp; CQI</t>
  </si>
  <si>
    <t>Reports received &amp; actioned</t>
  </si>
  <si>
    <t>Workshop conducted</t>
  </si>
  <si>
    <t>Meeting conducted</t>
  </si>
  <si>
    <t>Development of Oral Health strategic plan (taking into account current survey)</t>
  </si>
  <si>
    <t>Plan endorsed by NHEC</t>
  </si>
  <si>
    <t>MOH – DSPH, NAOH</t>
  </si>
  <si>
    <t>5.4.2</t>
  </si>
  <si>
    <t>5.4.3</t>
  </si>
  <si>
    <t>Capacity building for senior staff in policy development, government writing.</t>
  </si>
  <si>
    <t>a) Long term development plan developed and endorsed b) Number of senior staff attending training / secondment by type</t>
  </si>
  <si>
    <t>MOH, FNU &amp; PSC</t>
  </si>
  <si>
    <t>Annual Corporate Planning development support</t>
  </si>
  <si>
    <t>ACP 2013 Endorsed</t>
  </si>
  <si>
    <t>MOH – PPDA</t>
  </si>
  <si>
    <t>MOH &amp; PSC</t>
  </si>
  <si>
    <t>OUTPUT 5.5: SECTORAL CO-ORDINATION</t>
  </si>
  <si>
    <t>Donor Co-ordination Meeting</t>
  </si>
  <si>
    <t>2 meetings conducted</t>
  </si>
  <si>
    <t>MOH (PPDA)</t>
  </si>
  <si>
    <t>MOH &amp; Donor</t>
  </si>
  <si>
    <t>Divisional Meetings</t>
  </si>
  <si>
    <t>4 meetings per division</t>
  </si>
  <si>
    <t>MOH (PPDA) &amp; Divisional Office (DSPH &amp; DSHS)</t>
  </si>
  <si>
    <t>MOH &amp; Divisional Office</t>
  </si>
  <si>
    <t>Sub-Divisional Meeting</t>
  </si>
  <si>
    <t>Documented reports from Sub-Divisional heads</t>
  </si>
  <si>
    <t>Divisional Office &amp; Sub –Divisional Office</t>
  </si>
  <si>
    <t>MOH (DSPH &amp; DSHS)</t>
  </si>
  <si>
    <t>Annual Program Planning</t>
  </si>
  <si>
    <t>Development of the Program’s Plan for 2013</t>
  </si>
  <si>
    <t>FHSSP</t>
  </si>
  <si>
    <t>MOH &amp; AusAID</t>
  </si>
  <si>
    <t xml:space="preserve"> Output  5.4: Support for MOH Planning Process</t>
  </si>
  <si>
    <t xml:space="preserve">Commission initial analysis of scope, key issues, health outcomes and health system impacts of urban and peri urban migration.Develop options for addressing identified impacts and needs. Develop mechanisms for monitoring health status of informal settlement communities.{Develop  MoH capacity and build links to local and regional institutions. </t>
  </si>
  <si>
    <t>(i)Support plan endorsed by MoH   (ii)mentoring relationship formally established</t>
  </si>
  <si>
    <t>Support Health worker exchange  for  attachment between  hospitals to up skill them</t>
  </si>
  <si>
    <t>No of exchanges by type of health worker</t>
  </si>
  <si>
    <t>Availability of place at John Hunter</t>
  </si>
  <si>
    <t>MOH –DSHS &amp; PHSS.  John Hunter &amp; MoH</t>
  </si>
  <si>
    <t>Attachment to John Hunter Hospital</t>
  </si>
  <si>
    <t>Review of UOR Database</t>
  </si>
  <si>
    <t>RCA Infection Control Workshop/Training of risk management and quality improvement</t>
  </si>
  <si>
    <t>National QI/CSP Meeting</t>
  </si>
  <si>
    <t>May</t>
  </si>
  <si>
    <t>June</t>
  </si>
  <si>
    <t>3.1.11</t>
  </si>
  <si>
    <t>NCD Awareness Programs (Print and media)</t>
  </si>
  <si>
    <t xml:space="preserve"> MOH, FPS, Purchasing Company.</t>
  </si>
  <si>
    <t>20 Nurses admitted to Midwifery Course.</t>
  </si>
  <si>
    <t xml:space="preserve">Support the nationalizing of ‘ visual inspection with acetic acid’ (VIA) – to be further discussed as currently there is a pilot project (finishes in March 2012)  in place  This is a complimentary service to the Pap Smear program.
</t>
  </si>
  <si>
    <t>Child Health Week</t>
  </si>
  <si>
    <t xml:space="preserve">Support to Demographic Health Survey (EPI coverage survey) </t>
  </si>
  <si>
    <t>Consultation with FNU, SPC, WHO</t>
  </si>
  <si>
    <t>Timely input from MOH staff</t>
  </si>
  <si>
    <t>Provide support to the implementation of health  promotion activities and set up of community support groups. Areas of support inlcude smoke free community, HIV awareness, traditionally sensitive issues, water supply upgraded, backyard garden established and etc (Strengthen water sanitation waste approach)</t>
  </si>
  <si>
    <t>Aug</t>
  </si>
  <si>
    <t>Sep</t>
  </si>
  <si>
    <t>Dec</t>
  </si>
  <si>
    <t>Oct</t>
  </si>
  <si>
    <t>Apr</t>
  </si>
  <si>
    <t>3.5.5</t>
  </si>
  <si>
    <t>Number of programs conducted</t>
  </si>
  <si>
    <t>MOH, NCHP, NCD</t>
  </si>
  <si>
    <t>Apr, Nov</t>
  </si>
  <si>
    <t>Mar, Jun, Sep, Dec</t>
  </si>
  <si>
    <t xml:space="preserve">Jun </t>
  </si>
  <si>
    <t xml:space="preserve">Mar </t>
  </si>
  <si>
    <t>Mar</t>
  </si>
  <si>
    <t>Jun, Dec</t>
  </si>
  <si>
    <t>Output 4.4: Strengthening supervisors capacity in M&amp;E of CHW program</t>
  </si>
  <si>
    <t>4.4.2</t>
  </si>
  <si>
    <t>Revision of all forms and manuals to ensure they collect information needed to report performance indicators. Print and distribute manuals.</t>
  </si>
  <si>
    <t>MoH to establish project governance and arrange consultations with all stakeholders</t>
  </si>
  <si>
    <t>Develop data collation and reporting at tools at Divisional, sub-divisional levels , national levels. Including reporting templates at all levels</t>
  </si>
  <si>
    <t>Apr - Dec</t>
  </si>
  <si>
    <t>Jul - Dec</t>
  </si>
  <si>
    <t>Support Development of Data &amp; Indicators Dictionary</t>
  </si>
  <si>
    <t>MOH to release staff time to work on these dictionaries</t>
  </si>
  <si>
    <t>FNU, MOH and Global Fund</t>
  </si>
  <si>
    <t>Data &amp; Indicators dictionary developed</t>
  </si>
  <si>
    <t>CSn plans and release of officers by MOH</t>
  </si>
  <si>
    <t>Apr - Nov</t>
  </si>
  <si>
    <t>Support CSN Workshop</t>
  </si>
  <si>
    <t>Number CSN workshop conducted</t>
  </si>
  <si>
    <t>10 CSN</t>
  </si>
  <si>
    <t>FNU &amp; MOH (Core share)</t>
  </si>
  <si>
    <t>5.3.4.1</t>
  </si>
  <si>
    <t>1 officers completed attachment &amp; completion report received</t>
  </si>
  <si>
    <t>5.3.4.2</t>
  </si>
  <si>
    <t>PA HSS to coordinate</t>
  </si>
  <si>
    <t>5.3.4.3</t>
  </si>
  <si>
    <t>Divisional risk managers</t>
  </si>
  <si>
    <t>5.3.4.4</t>
  </si>
  <si>
    <t xml:space="preserve">Mar - Sep </t>
  </si>
  <si>
    <t>Based on survey results of 2011.</t>
  </si>
  <si>
    <t>LTA Planning and Monitoring to take lead role</t>
  </si>
  <si>
    <t>5.5.4</t>
  </si>
  <si>
    <t>TSO - CSN/CPG Co-ordination M&amp;E</t>
  </si>
  <si>
    <t xml:space="preserve">Jan - Jun </t>
  </si>
  <si>
    <t>Jan - Apr</t>
  </si>
  <si>
    <t>Mar, Jun,Sep, Dec</t>
  </si>
  <si>
    <t>May - Jul</t>
  </si>
  <si>
    <t xml:space="preserve">Support to Basic 3 day EPI training  </t>
  </si>
  <si>
    <t>OBJECTIVE ONE:  SAFE MOTHERHOOD</t>
  </si>
  <si>
    <r>
      <t>Objective</t>
    </r>
    <r>
      <rPr>
        <sz val="11"/>
        <color indexed="9"/>
        <rFont val="Calibri"/>
        <family val="2"/>
        <scheme val="minor"/>
      </rPr>
      <t>: To institutionalise a safe motherhood program at decentralised levels throughout Fiji</t>
    </r>
  </si>
  <si>
    <t>Outcome 1.1.1</t>
  </si>
  <si>
    <t>Output 1.2.4</t>
  </si>
  <si>
    <t>Output 1.2.2</t>
  </si>
  <si>
    <t>Output 1.2.3</t>
  </si>
  <si>
    <t>Output 1.2.5</t>
  </si>
  <si>
    <t>Output 1.2.1</t>
  </si>
  <si>
    <t>TOTAL FOR OBJECTIVE ONE</t>
  </si>
  <si>
    <t>OBJECTIVE TWO:  Healthy Child Program</t>
  </si>
  <si>
    <r>
      <t>Objective</t>
    </r>
    <r>
      <rPr>
        <sz val="11"/>
        <color indexed="9"/>
        <rFont val="Calibri"/>
        <family val="2"/>
        <scheme val="minor"/>
      </rPr>
      <t>: To institutionalise a 'healthy child' program throughout Fiji</t>
    </r>
  </si>
  <si>
    <t>Outcome 2.1.1</t>
  </si>
  <si>
    <t>Outcome 2.2.3</t>
  </si>
  <si>
    <t>Outcome 2.2.2</t>
  </si>
  <si>
    <t>Outcome 2.2.1</t>
  </si>
  <si>
    <t>TOTAL FOR OBJECTIVE TWO</t>
  </si>
  <si>
    <t>OBJECTIVE 3: Diabetes</t>
  </si>
  <si>
    <r>
      <t>Objective</t>
    </r>
    <r>
      <rPr>
        <sz val="11"/>
        <color indexed="9"/>
        <rFont val="Calibri"/>
        <family val="2"/>
        <scheme val="minor"/>
      </rPr>
      <t>: To strengthen Diabetes and Hypertension prevention and management at decentralized levels</t>
    </r>
  </si>
  <si>
    <t>Outcome 3.1.2</t>
  </si>
  <si>
    <t>Outcome 3.1.3</t>
  </si>
  <si>
    <t>Outcome 3.1.4</t>
  </si>
  <si>
    <t>Outcome 3.2.1</t>
  </si>
  <si>
    <t>Outcome 3.2.2</t>
  </si>
  <si>
    <t>TOTAL FOR OBJECTIVE THREE</t>
  </si>
  <si>
    <t>OBJECTIVE 4: COMMUNITY HEALTH WORKER NETWORK</t>
  </si>
  <si>
    <r>
      <t>Objective</t>
    </r>
    <r>
      <rPr>
        <sz val="11"/>
        <color indexed="9"/>
        <rFont val="Calibri"/>
        <family val="2"/>
        <scheme val="minor"/>
      </rPr>
      <t>: To revitalise an effective and sustainable network of village/community health workers (VHW/CHW) as the first point of contact with the health system for people at community level</t>
    </r>
  </si>
  <si>
    <t>Outcome 4.1.1</t>
  </si>
  <si>
    <t>Outcome 4.2.1</t>
  </si>
  <si>
    <t>Outcome 4.2.4</t>
  </si>
  <si>
    <t>Outcome 4.2.5</t>
  </si>
  <si>
    <t>Outcome 4.2.2</t>
  </si>
  <si>
    <t>TOTAL FOR OBJECTIVE FOUR</t>
  </si>
  <si>
    <t>OBJECTIVE FIVE: Targeted systems strengthening</t>
  </si>
  <si>
    <r>
      <t>Objective</t>
    </r>
    <r>
      <rPr>
        <sz val="11"/>
        <color indexed="9"/>
        <rFont val="Calibri"/>
        <family val="2"/>
        <scheme val="minor"/>
      </rPr>
      <t>: To strengthen key components of the health system to support decentralised service delivery</t>
    </r>
  </si>
  <si>
    <t>Outcome 5.1.1</t>
  </si>
  <si>
    <t>Outcome 5.1.4</t>
  </si>
  <si>
    <t>Outcome 5.1.3</t>
  </si>
  <si>
    <t>Outcome 5.1.2</t>
  </si>
  <si>
    <t>TOTAL FOR OBJECTIVEFIVE</t>
  </si>
  <si>
    <t>Unallocated Fund</t>
  </si>
  <si>
    <t>To be covered out of Unallocated Fund</t>
  </si>
  <si>
    <t xml:space="preserve">*Note - the actitivies being funded from the Unallocated fund are highlighted in pink under their relevant Objective, however the allocation is actually taken into account under the UF line, NOT the total for the Objective. </t>
  </si>
  <si>
    <t xml:space="preserve">Obstetric support program that includes attachments from Sub    Divisional hospitals and Nursing Posts to Divisional Hospitals, inter divisional hospital exchanges and midwifery outreach activities (including CME, partogram  &amp; Auditing activities.) Specifically with the purpose of maintaining skills among midwives and doctors
</t>
  </si>
  <si>
    <t>Total Program including Unallocated Fun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</si>
</sst>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164" formatCode="&quot;$&quot;#,##0_);[Red]\(&quot;$&quot;#,##0\)"/>
    <numFmt numFmtId="165" formatCode="&quot;$&quot;#,##0.00_);[Red]\(&quot;$&quot;#,##0.00\)"/>
    <numFmt numFmtId="166" formatCode="&quot;$&quot;#,##0.00"/>
    <numFmt numFmtId="167" formatCode="0,"/>
    <numFmt numFmtId="168" formatCode="&quot;$&quot;#,##0"/>
  </numFmts>
  <fonts count="22"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b/>
      <sz val="11"/>
      <color indexed="9"/>
      <name val="Calibri"/>
      <family val="2"/>
      <scheme val="minor"/>
    </font>
    <font>
      <sz val="11"/>
      <color indexed="9"/>
      <name val="Calibri"/>
      <family val="2"/>
      <scheme val="minor"/>
    </font>
    <font>
      <b/>
      <sz val="11"/>
      <color indexed="8"/>
      <name val="Calibri"/>
      <family val="2"/>
    </font>
    <font>
      <sz val="12"/>
      <color rgb="FF000000"/>
      <name val="Calibri"/>
      <family val="2"/>
      <scheme val="minor"/>
    </font>
    <font>
      <sz val="9"/>
      <color theme="1"/>
      <name val="Calibri"/>
      <family val="2"/>
      <scheme val="minor"/>
    </font>
    <font>
      <sz val="11"/>
      <color rgb="FF000000"/>
      <name val="Calibri"/>
      <family val="2"/>
      <scheme val="minor"/>
    </font>
    <font>
      <sz val="9"/>
      <name val="Calibri"/>
      <family val="2"/>
      <scheme val="minor"/>
    </font>
    <font>
      <sz val="11"/>
      <color theme="1"/>
      <name val="Calibri"/>
      <family val="2"/>
    </font>
    <font>
      <b/>
      <sz val="10"/>
      <name val="Arial"/>
      <family val="2"/>
    </font>
    <font>
      <sz val="11"/>
      <color indexed="8"/>
      <name val="Calibri"/>
      <family val="2"/>
    </font>
    <font>
      <b/>
      <sz val="11"/>
      <name val="Calibri"/>
      <family val="2"/>
    </font>
    <font>
      <sz val="11"/>
      <name val="Calibri"/>
      <family val="2"/>
    </font>
    <font>
      <b/>
      <sz val="11"/>
      <color theme="1"/>
      <name val="Calibri"/>
      <family val="2"/>
      <scheme val="minor"/>
    </font>
    <font>
      <b/>
      <sz val="12"/>
      <color theme="1"/>
      <name val="Calibri"/>
      <family val="2"/>
      <scheme val="minor"/>
    </font>
    <font>
      <b/>
      <sz val="12"/>
      <name val="Calibri"/>
      <family val="2"/>
    </font>
    <font>
      <sz val="10"/>
      <name val="Calibri"/>
      <family val="2"/>
      <scheme val="minor"/>
    </font>
    <font>
      <b/>
      <i/>
      <sz val="11"/>
      <color theme="1"/>
      <name val="Calibri"/>
      <family val="2"/>
      <scheme val="minor"/>
    </font>
  </fonts>
  <fills count="14">
    <fill>
      <patternFill patternType="none"/>
    </fill>
    <fill>
      <patternFill patternType="gray125"/>
    </fill>
    <fill>
      <patternFill patternType="solid">
        <fgColor indexed="13"/>
        <bgColor indexed="64"/>
      </patternFill>
    </fill>
    <fill>
      <patternFill patternType="solid">
        <fgColor theme="8" tint="0.39997558519241921"/>
        <bgColor indexed="64"/>
      </patternFill>
    </fill>
    <fill>
      <patternFill patternType="solid">
        <fgColor indexed="63"/>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FFFF00"/>
        <bgColor indexed="64"/>
      </patternFill>
    </fill>
  </fills>
  <borders count="3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bottom style="medium">
        <color indexed="64"/>
      </bottom>
      <diagonal/>
    </border>
    <border>
      <left/>
      <right style="medium">
        <color indexed="64"/>
      </right>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s>
  <cellStyleXfs count="4">
    <xf numFmtId="0" fontId="0" fillId="0" borderId="0"/>
    <xf numFmtId="44" fontId="1" fillId="0" borderId="0" applyFont="0" applyFill="0" applyBorder="0" applyAlignment="0" applyProtection="0"/>
    <xf numFmtId="0" fontId="2" fillId="0" borderId="0"/>
    <xf numFmtId="0" fontId="2" fillId="0" borderId="0"/>
  </cellStyleXfs>
  <cellXfs count="347">
    <xf numFmtId="0" fontId="0" fillId="0" borderId="0" xfId="0"/>
    <xf numFmtId="0" fontId="3" fillId="3" borderId="4" xfId="3" applyFont="1" applyFill="1" applyBorder="1" applyAlignment="1">
      <alignment horizontal="center" vertical="center" wrapText="1"/>
    </xf>
    <xf numFmtId="0" fontId="4" fillId="0" borderId="4" xfId="3" applyFont="1" applyFill="1" applyBorder="1" applyAlignment="1">
      <alignment vertical="top" wrapText="1"/>
    </xf>
    <xf numFmtId="0" fontId="0" fillId="0" borderId="4" xfId="0" applyBorder="1"/>
    <xf numFmtId="0" fontId="4" fillId="0" borderId="4" xfId="3" applyFont="1" applyFill="1" applyBorder="1" applyAlignment="1">
      <alignment vertical="center"/>
    </xf>
    <xf numFmtId="0" fontId="4" fillId="0" borderId="4" xfId="3" applyFont="1" applyBorder="1" applyAlignment="1">
      <alignment vertical="top" wrapText="1"/>
    </xf>
    <xf numFmtId="0" fontId="0" fillId="0" borderId="4" xfId="0" applyBorder="1" applyAlignment="1">
      <alignment wrapText="1"/>
    </xf>
    <xf numFmtId="167" fontId="4" fillId="0" borderId="4" xfId="3" applyNumberFormat="1" applyFont="1" applyFill="1" applyBorder="1" applyAlignment="1">
      <alignment vertical="top" wrapText="1"/>
    </xf>
    <xf numFmtId="44" fontId="0" fillId="0" borderId="0" xfId="1" applyFont="1"/>
    <xf numFmtId="0" fontId="2" fillId="0" borderId="0" xfId="3"/>
    <xf numFmtId="0" fontId="2" fillId="0" borderId="0" xfId="2"/>
    <xf numFmtId="0" fontId="3" fillId="3" borderId="5" xfId="3" applyFont="1" applyFill="1" applyBorder="1" applyAlignment="1">
      <alignment horizontal="center" vertical="center" wrapText="1"/>
    </xf>
    <xf numFmtId="0" fontId="4" fillId="0" borderId="5" xfId="3" applyFont="1" applyFill="1" applyBorder="1" applyAlignment="1">
      <alignment horizontal="right" vertical="top" wrapText="1"/>
    </xf>
    <xf numFmtId="0" fontId="4" fillId="2" borderId="5" xfId="3" applyFont="1" applyFill="1" applyBorder="1" applyAlignment="1">
      <alignment horizontal="right" vertical="top" wrapText="1"/>
    </xf>
    <xf numFmtId="0" fontId="3" fillId="0" borderId="5" xfId="3" applyFont="1" applyFill="1" applyBorder="1" applyAlignment="1">
      <alignment vertical="center"/>
    </xf>
    <xf numFmtId="0" fontId="6" fillId="4" borderId="5" xfId="3" applyFont="1" applyFill="1" applyBorder="1" applyAlignment="1">
      <alignment horizontal="right" vertical="top" wrapText="1"/>
    </xf>
    <xf numFmtId="167" fontId="4" fillId="5" borderId="4" xfId="3" applyNumberFormat="1" applyFont="1" applyFill="1" applyBorder="1" applyAlignment="1">
      <alignment vertical="top" wrapText="1"/>
    </xf>
    <xf numFmtId="0" fontId="4" fillId="5" borderId="4" xfId="3" applyFont="1" applyFill="1" applyBorder="1" applyAlignment="1">
      <alignment vertical="top" wrapText="1"/>
    </xf>
    <xf numFmtId="0" fontId="4" fillId="7" borderId="4" xfId="3" applyFont="1" applyFill="1" applyBorder="1" applyAlignment="1">
      <alignment vertical="top" wrapText="1"/>
    </xf>
    <xf numFmtId="0" fontId="2" fillId="7" borderId="4" xfId="3" applyFill="1" applyBorder="1"/>
    <xf numFmtId="0" fontId="3" fillId="3" borderId="7" xfId="3" applyFont="1" applyFill="1" applyBorder="1" applyAlignment="1">
      <alignment horizontal="center" vertical="center" wrapText="1"/>
    </xf>
    <xf numFmtId="0" fontId="4" fillId="0" borderId="4" xfId="0" applyFont="1" applyBorder="1" applyAlignment="1">
      <alignment horizontal="left" vertical="top" wrapText="1" readingOrder="1"/>
    </xf>
    <xf numFmtId="164" fontId="4" fillId="0" borderId="4" xfId="3" applyNumberFormat="1" applyFont="1" applyFill="1" applyBorder="1" applyAlignment="1">
      <alignment vertical="top" wrapText="1"/>
    </xf>
    <xf numFmtId="165" fontId="4" fillId="0" borderId="4" xfId="3" applyNumberFormat="1" applyFont="1" applyFill="1" applyBorder="1" applyAlignment="1">
      <alignment vertical="top" wrapText="1"/>
    </xf>
    <xf numFmtId="164" fontId="4" fillId="5" borderId="4" xfId="3" applyNumberFormat="1" applyFont="1" applyFill="1" applyBorder="1" applyAlignment="1">
      <alignment vertical="top" wrapText="1"/>
    </xf>
    <xf numFmtId="0" fontId="0" fillId="0" borderId="0" xfId="0" applyAlignment="1">
      <alignment vertical="top"/>
    </xf>
    <xf numFmtId="0" fontId="0" fillId="0" borderId="4" xfId="0" applyBorder="1" applyAlignment="1">
      <alignment vertical="top"/>
    </xf>
    <xf numFmtId="164" fontId="0" fillId="0" borderId="4" xfId="0" applyNumberFormat="1" applyBorder="1" applyAlignment="1">
      <alignment vertical="top"/>
    </xf>
    <xf numFmtId="0" fontId="5" fillId="0" borderId="4" xfId="3" applyFont="1" applyFill="1" applyBorder="1" applyAlignment="1">
      <alignment horizontal="right"/>
    </xf>
    <xf numFmtId="0" fontId="0" fillId="0" borderId="4" xfId="0" applyFont="1" applyFill="1" applyBorder="1"/>
    <xf numFmtId="168" fontId="0" fillId="0" borderId="4" xfId="0" applyNumberFormat="1" applyFill="1" applyBorder="1"/>
    <xf numFmtId="0" fontId="0" fillId="0" borderId="0" xfId="0" applyFill="1" applyBorder="1"/>
    <xf numFmtId="168" fontId="0" fillId="0" borderId="4" xfId="0" applyNumberFormat="1" applyFill="1" applyBorder="1" applyAlignment="1">
      <alignment wrapText="1"/>
    </xf>
    <xf numFmtId="168" fontId="0" fillId="0" borderId="4" xfId="0" applyNumberFormat="1" applyBorder="1"/>
    <xf numFmtId="168" fontId="0" fillId="0" borderId="4" xfId="0" applyNumberFormat="1" applyBorder="1" applyAlignment="1">
      <alignment wrapText="1"/>
    </xf>
    <xf numFmtId="0" fontId="8" fillId="0" borderId="4" xfId="0" applyFont="1" applyBorder="1" applyAlignment="1">
      <alignment vertical="top" wrapText="1"/>
    </xf>
    <xf numFmtId="17" fontId="4" fillId="0" borderId="4" xfId="3" applyNumberFormat="1" applyFont="1" applyFill="1" applyBorder="1" applyAlignment="1">
      <alignment vertical="top" wrapText="1"/>
    </xf>
    <xf numFmtId="0" fontId="4" fillId="0" borderId="3" xfId="3" applyNumberFormat="1" applyFont="1" applyFill="1" applyBorder="1" applyAlignment="1">
      <alignment horizontal="right" vertical="top" wrapText="1"/>
    </xf>
    <xf numFmtId="0" fontId="4" fillId="0" borderId="6" xfId="3" applyFont="1" applyFill="1" applyBorder="1" applyAlignment="1">
      <alignment vertical="top" wrapText="1"/>
    </xf>
    <xf numFmtId="0" fontId="4" fillId="0" borderId="8" xfId="3" applyNumberFormat="1" applyFont="1" applyFill="1" applyBorder="1" applyAlignment="1">
      <alignment horizontal="right" vertical="top" wrapText="1"/>
    </xf>
    <xf numFmtId="0" fontId="4" fillId="5" borderId="4" xfId="0" applyFont="1" applyFill="1" applyBorder="1" applyAlignment="1">
      <alignment wrapText="1"/>
    </xf>
    <xf numFmtId="0" fontId="4" fillId="5" borderId="3" xfId="3" applyNumberFormat="1" applyFont="1" applyFill="1" applyBorder="1" applyAlignment="1">
      <alignment horizontal="right" vertical="top" wrapText="1"/>
    </xf>
    <xf numFmtId="0" fontId="4" fillId="0" borderId="9" xfId="3" applyFont="1" applyFill="1" applyBorder="1" applyAlignment="1">
      <alignment vertical="top" wrapText="1"/>
    </xf>
    <xf numFmtId="0" fontId="0" fillId="0" borderId="0" xfId="0" applyAlignment="1">
      <alignment wrapText="1"/>
    </xf>
    <xf numFmtId="0" fontId="4" fillId="0" borderId="4" xfId="2" applyFont="1" applyFill="1" applyBorder="1" applyAlignment="1">
      <alignment vertical="top" wrapText="1"/>
    </xf>
    <xf numFmtId="0" fontId="5" fillId="4" borderId="4" xfId="2" applyFont="1" applyFill="1" applyBorder="1" applyAlignment="1">
      <alignment vertical="center"/>
    </xf>
    <xf numFmtId="0" fontId="4" fillId="0" borderId="4" xfId="2" applyFont="1" applyFill="1" applyBorder="1" applyAlignment="1">
      <alignment vertical="center"/>
    </xf>
    <xf numFmtId="166" fontId="4" fillId="0" borderId="4" xfId="2" applyNumberFormat="1" applyFont="1" applyBorder="1" applyAlignment="1">
      <alignment vertical="top" wrapText="1"/>
    </xf>
    <xf numFmtId="166" fontId="4" fillId="0" borderId="4" xfId="2" applyNumberFormat="1" applyFont="1" applyFill="1" applyBorder="1" applyAlignment="1">
      <alignment vertical="top" wrapText="1"/>
    </xf>
    <xf numFmtId="16" fontId="4" fillId="0" borderId="4" xfId="2" applyNumberFormat="1" applyFont="1" applyFill="1" applyBorder="1" applyAlignment="1">
      <alignment horizontal="right" vertical="top" wrapText="1"/>
    </xf>
    <xf numFmtId="167" fontId="4" fillId="0" borderId="4" xfId="2" applyNumberFormat="1" applyFont="1" applyFill="1" applyBorder="1" applyAlignment="1">
      <alignment vertical="top" wrapText="1"/>
    </xf>
    <xf numFmtId="0" fontId="4" fillId="0" borderId="4" xfId="2" applyFont="1" applyFill="1" applyBorder="1" applyAlignment="1">
      <alignment horizontal="right" vertical="top" wrapText="1"/>
    </xf>
    <xf numFmtId="0" fontId="4" fillId="5" borderId="4" xfId="2" applyFont="1" applyFill="1" applyBorder="1" applyAlignment="1">
      <alignment vertical="top" wrapText="1"/>
    </xf>
    <xf numFmtId="166" fontId="4" fillId="5" borderId="4" xfId="2" applyNumberFormat="1" applyFont="1" applyFill="1" applyBorder="1" applyAlignment="1">
      <alignment vertical="top" wrapText="1"/>
    </xf>
    <xf numFmtId="0" fontId="4" fillId="0" borderId="4" xfId="2" applyFont="1" applyBorder="1" applyAlignment="1">
      <alignment vertical="top" wrapText="1"/>
    </xf>
    <xf numFmtId="168" fontId="4" fillId="0" borderId="4" xfId="2" applyNumberFormat="1" applyFont="1" applyBorder="1" applyAlignment="1">
      <alignment vertical="top" wrapText="1"/>
    </xf>
    <xf numFmtId="168" fontId="4" fillId="0" borderId="4" xfId="2" applyNumberFormat="1" applyFont="1" applyFill="1" applyBorder="1" applyAlignment="1">
      <alignment vertical="top" wrapText="1"/>
    </xf>
    <xf numFmtId="168" fontId="4" fillId="0" borderId="4" xfId="2" applyNumberFormat="1" applyFont="1" applyBorder="1" applyAlignment="1">
      <alignment vertical="top"/>
    </xf>
    <xf numFmtId="168" fontId="4" fillId="5" borderId="4" xfId="2" applyNumberFormat="1" applyFont="1" applyFill="1" applyBorder="1" applyAlignment="1">
      <alignment vertical="top" wrapText="1"/>
    </xf>
    <xf numFmtId="166" fontId="3" fillId="3" borderId="4" xfId="2" applyNumberFormat="1" applyFont="1" applyFill="1" applyBorder="1" applyAlignment="1">
      <alignment horizontal="center" vertical="center" wrapText="1"/>
    </xf>
    <xf numFmtId="0" fontId="3" fillId="0" borderId="4" xfId="2" applyFont="1" applyFill="1" applyBorder="1" applyAlignment="1">
      <alignment vertical="center"/>
    </xf>
    <xf numFmtId="0" fontId="6" fillId="4" borderId="4" xfId="2" applyFont="1" applyFill="1" applyBorder="1" applyAlignment="1">
      <alignment horizontal="right" vertical="top" wrapText="1"/>
    </xf>
    <xf numFmtId="49" fontId="4" fillId="0" borderId="4" xfId="2" applyNumberFormat="1" applyFont="1" applyBorder="1" applyAlignment="1">
      <alignment vertical="top" wrapText="1"/>
    </xf>
    <xf numFmtId="0" fontId="4" fillId="5" borderId="4" xfId="2" applyNumberFormat="1" applyFont="1" applyFill="1" applyBorder="1" applyAlignment="1">
      <alignment horizontal="right" vertical="top"/>
    </xf>
    <xf numFmtId="167" fontId="4" fillId="5" borderId="4" xfId="2" applyNumberFormat="1" applyFont="1" applyFill="1" applyBorder="1" applyAlignment="1">
      <alignment vertical="top" wrapText="1"/>
    </xf>
    <xf numFmtId="0" fontId="3" fillId="5" borderId="4" xfId="3" applyFont="1" applyFill="1" applyBorder="1" applyAlignment="1">
      <alignment horizontal="left" vertical="top" wrapText="1"/>
    </xf>
    <xf numFmtId="0" fontId="0" fillId="0" borderId="4" xfId="0" applyBorder="1" applyAlignment="1">
      <alignment vertical="top" wrapText="1"/>
    </xf>
    <xf numFmtId="17" fontId="4" fillId="0" borderId="4" xfId="2" applyNumberFormat="1" applyFont="1" applyFill="1" applyBorder="1" applyAlignment="1">
      <alignment vertical="top" wrapText="1"/>
    </xf>
    <xf numFmtId="167" fontId="4" fillId="5" borderId="4" xfId="2" applyNumberFormat="1" applyFont="1" applyFill="1" applyBorder="1" applyAlignment="1">
      <alignment horizontal="left" vertical="top" wrapText="1"/>
    </xf>
    <xf numFmtId="0" fontId="0" fillId="0" borderId="4" xfId="0" applyFill="1" applyBorder="1" applyAlignment="1">
      <alignment vertical="top" wrapText="1"/>
    </xf>
    <xf numFmtId="16" fontId="4" fillId="0" borderId="4" xfId="3" applyNumberFormat="1" applyFont="1" applyFill="1" applyBorder="1" applyAlignment="1">
      <alignment horizontal="left" vertical="top" wrapText="1"/>
    </xf>
    <xf numFmtId="0" fontId="4" fillId="0" borderId="3" xfId="3" applyNumberFormat="1" applyFont="1" applyFill="1" applyBorder="1" applyAlignment="1">
      <alignment horizontal="left" vertical="top" wrapText="1"/>
    </xf>
    <xf numFmtId="17" fontId="4" fillId="0" borderId="3" xfId="3" applyNumberFormat="1" applyFont="1" applyFill="1" applyBorder="1" applyAlignment="1">
      <alignment horizontal="left" vertical="top" wrapText="1"/>
    </xf>
    <xf numFmtId="0" fontId="0" fillId="0" borderId="4" xfId="0" applyFont="1" applyBorder="1" applyAlignment="1">
      <alignment horizontal="left" vertical="top" wrapText="1"/>
    </xf>
    <xf numFmtId="0" fontId="4" fillId="0" borderId="4" xfId="3" applyNumberFormat="1" applyFont="1" applyFill="1" applyBorder="1" applyAlignment="1">
      <alignment horizontal="right" vertical="top" wrapText="1"/>
    </xf>
    <xf numFmtId="0" fontId="4" fillId="7" borderId="4" xfId="2" applyFont="1" applyFill="1" applyBorder="1" applyAlignment="1">
      <alignment horizontal="right" vertical="top" wrapText="1"/>
    </xf>
    <xf numFmtId="0" fontId="12" fillId="0" borderId="4" xfId="0" applyFont="1" applyBorder="1" applyAlignment="1">
      <alignment vertical="top" wrapText="1"/>
    </xf>
    <xf numFmtId="0" fontId="12" fillId="0" borderId="4" xfId="0" applyNumberFormat="1" applyFont="1" applyBorder="1" applyAlignment="1">
      <alignment vertical="top" wrapText="1"/>
    </xf>
    <xf numFmtId="0" fontId="2" fillId="0" borderId="4" xfId="3" applyBorder="1"/>
    <xf numFmtId="0" fontId="13" fillId="0" borderId="4" xfId="3" applyFont="1" applyBorder="1"/>
    <xf numFmtId="0" fontId="2" fillId="0" borderId="4" xfId="3" applyBorder="1" applyAlignment="1">
      <alignment wrapText="1"/>
    </xf>
    <xf numFmtId="164" fontId="2" fillId="0" borderId="4" xfId="3" applyNumberFormat="1" applyBorder="1"/>
    <xf numFmtId="168" fontId="1" fillId="0" borderId="4" xfId="0" applyNumberFormat="1" applyFont="1" applyBorder="1" applyAlignment="1">
      <alignment vertical="top"/>
    </xf>
    <xf numFmtId="0" fontId="0" fillId="0" borderId="7" xfId="0" applyFont="1" applyFill="1" applyBorder="1"/>
    <xf numFmtId="0" fontId="14" fillId="0" borderId="4" xfId="0" applyFont="1" applyFill="1" applyBorder="1" applyAlignment="1">
      <alignment horizontal="left"/>
    </xf>
    <xf numFmtId="0" fontId="0" fillId="0" borderId="4" xfId="0" applyFill="1" applyBorder="1"/>
    <xf numFmtId="168" fontId="0" fillId="0" borderId="4" xfId="0" applyNumberFormat="1" applyFill="1" applyBorder="1" applyAlignment="1"/>
    <xf numFmtId="164" fontId="0" fillId="0" borderId="4" xfId="0" applyNumberFormat="1" applyFill="1" applyBorder="1" applyAlignment="1">
      <alignment vertical="top" wrapText="1"/>
    </xf>
    <xf numFmtId="0" fontId="12" fillId="0" borderId="9" xfId="0" applyFont="1" applyBorder="1" applyAlignment="1">
      <alignment vertical="top" wrapText="1"/>
    </xf>
    <xf numFmtId="0" fontId="12" fillId="0" borderId="10" xfId="0" applyNumberFormat="1" applyFont="1" applyBorder="1" applyAlignment="1">
      <alignment vertical="top" wrapText="1"/>
    </xf>
    <xf numFmtId="0" fontId="2" fillId="8" borderId="4" xfId="3" applyFill="1" applyBorder="1"/>
    <xf numFmtId="0" fontId="13" fillId="8" borderId="4" xfId="3" applyFont="1" applyFill="1" applyBorder="1"/>
    <xf numFmtId="0" fontId="2" fillId="8" borderId="4" xfId="3" applyFill="1" applyBorder="1" applyAlignment="1">
      <alignment wrapText="1"/>
    </xf>
    <xf numFmtId="0" fontId="3" fillId="7" borderId="4" xfId="3" applyFont="1" applyFill="1" applyBorder="1" applyAlignment="1">
      <alignment horizontal="left" vertical="top" wrapText="1"/>
    </xf>
    <xf numFmtId="0" fontId="4" fillId="0" borderId="4" xfId="3" applyFont="1" applyFill="1" applyBorder="1" applyAlignment="1">
      <alignment horizontal="left" vertical="top" wrapText="1"/>
    </xf>
    <xf numFmtId="0" fontId="4" fillId="0" borderId="3" xfId="3" applyFont="1" applyFill="1" applyBorder="1" applyAlignment="1">
      <alignment horizontal="left" vertical="top" wrapText="1"/>
    </xf>
    <xf numFmtId="0" fontId="4" fillId="0" borderId="1" xfId="3" applyFont="1" applyFill="1" applyBorder="1" applyAlignment="1">
      <alignment horizontal="left" vertical="top" wrapText="1"/>
    </xf>
    <xf numFmtId="0" fontId="4" fillId="5" borderId="4" xfId="3" applyFont="1" applyFill="1" applyBorder="1" applyAlignment="1">
      <alignment horizontal="left" vertical="top" wrapText="1"/>
    </xf>
    <xf numFmtId="0" fontId="4" fillId="0" borderId="4" xfId="2" applyFont="1" applyFill="1" applyBorder="1" applyAlignment="1">
      <alignment horizontal="left" vertical="top" wrapText="1"/>
    </xf>
    <xf numFmtId="0" fontId="0" fillId="0" borderId="0" xfId="0" applyFont="1" applyFill="1" applyBorder="1"/>
    <xf numFmtId="164" fontId="4" fillId="5" borderId="4" xfId="3" applyNumberFormat="1" applyFont="1" applyFill="1" applyBorder="1" applyAlignment="1">
      <alignment horizontal="right" vertical="top" wrapText="1"/>
    </xf>
    <xf numFmtId="168" fontId="0" fillId="0" borderId="4" xfId="0" applyNumberFormat="1" applyFill="1" applyBorder="1" applyAlignment="1">
      <alignment vertical="top"/>
    </xf>
    <xf numFmtId="0" fontId="0" fillId="0" borderId="0" xfId="0" applyBorder="1" applyAlignment="1">
      <alignment vertical="top" wrapText="1"/>
    </xf>
    <xf numFmtId="0" fontId="0" fillId="0" borderId="0" xfId="0" applyBorder="1"/>
    <xf numFmtId="0" fontId="0" fillId="0" borderId="0" xfId="0" applyBorder="1" applyAlignment="1">
      <alignment vertical="top"/>
    </xf>
    <xf numFmtId="0" fontId="0" fillId="0" borderId="0" xfId="0" applyBorder="1" applyAlignment="1">
      <alignment wrapText="1"/>
    </xf>
    <xf numFmtId="0" fontId="0" fillId="0" borderId="6" xfId="0" applyBorder="1" applyAlignment="1">
      <alignment vertical="top" wrapText="1"/>
    </xf>
    <xf numFmtId="0" fontId="0" fillId="0" borderId="6" xfId="0" applyBorder="1"/>
    <xf numFmtId="0" fontId="0" fillId="0" borderId="6" xfId="0" applyBorder="1" applyAlignment="1">
      <alignment vertical="top"/>
    </xf>
    <xf numFmtId="164" fontId="0" fillId="0" borderId="6" xfId="0" applyNumberFormat="1" applyBorder="1" applyAlignment="1">
      <alignment vertical="top"/>
    </xf>
    <xf numFmtId="0" fontId="3" fillId="0" borderId="13" xfId="3" applyFont="1" applyFill="1" applyBorder="1" applyAlignment="1">
      <alignment horizontal="left" vertical="top" wrapText="1"/>
    </xf>
    <xf numFmtId="0" fontId="3" fillId="0" borderId="6" xfId="3" applyFont="1" applyFill="1" applyBorder="1" applyAlignment="1">
      <alignment horizontal="left" vertical="top" wrapText="1"/>
    </xf>
    <xf numFmtId="0" fontId="4" fillId="0" borderId="6" xfId="3" applyFont="1" applyBorder="1" applyAlignment="1">
      <alignment vertical="top" wrapText="1"/>
    </xf>
    <xf numFmtId="0" fontId="5" fillId="4" borderId="14" xfId="3" applyFont="1" applyFill="1" applyBorder="1" applyAlignment="1">
      <alignment vertical="center"/>
    </xf>
    <xf numFmtId="0" fontId="4" fillId="0" borderId="12" xfId="3" applyFont="1" applyBorder="1" applyAlignment="1">
      <alignment vertical="top" wrapText="1"/>
    </xf>
    <xf numFmtId="0" fontId="4" fillId="0" borderId="11" xfId="3" applyFont="1" applyFill="1" applyBorder="1" applyAlignment="1">
      <alignment horizontal="right" vertical="top" wrapText="1"/>
    </xf>
    <xf numFmtId="0" fontId="5" fillId="0" borderId="11" xfId="3" applyFont="1" applyFill="1" applyBorder="1" applyAlignment="1">
      <alignment horizontal="right"/>
    </xf>
    <xf numFmtId="168" fontId="0" fillId="0" borderId="12" xfId="0" applyNumberFormat="1" applyFill="1" applyBorder="1" applyAlignment="1"/>
    <xf numFmtId="0" fontId="0" fillId="0" borderId="12" xfId="0" applyBorder="1" applyAlignment="1">
      <alignment wrapText="1"/>
    </xf>
    <xf numFmtId="0" fontId="3" fillId="0" borderId="11" xfId="3" applyFont="1" applyFill="1" applyBorder="1" applyAlignment="1">
      <alignment horizontal="right"/>
    </xf>
    <xf numFmtId="168" fontId="0" fillId="0" borderId="12" xfId="0" applyNumberFormat="1" applyBorder="1" applyAlignment="1">
      <alignment wrapText="1"/>
    </xf>
    <xf numFmtId="0" fontId="4" fillId="6" borderId="11" xfId="3" applyFont="1" applyFill="1" applyBorder="1" applyAlignment="1">
      <alignment horizontal="right" vertical="top" wrapText="1"/>
    </xf>
    <xf numFmtId="0" fontId="4" fillId="7" borderId="11" xfId="3" applyFont="1" applyFill="1" applyBorder="1" applyAlignment="1">
      <alignment horizontal="right" vertical="top" wrapText="1"/>
    </xf>
    <xf numFmtId="165" fontId="4" fillId="0" borderId="12" xfId="3" applyNumberFormat="1" applyFont="1" applyBorder="1" applyAlignment="1">
      <alignment vertical="center" wrapText="1"/>
    </xf>
    <xf numFmtId="165" fontId="4" fillId="0" borderId="12" xfId="3" applyNumberFormat="1" applyFont="1" applyBorder="1" applyAlignment="1">
      <alignment vertical="top" wrapText="1"/>
    </xf>
    <xf numFmtId="0" fontId="3" fillId="7" borderId="12" xfId="3" applyFont="1" applyFill="1" applyBorder="1" applyAlignment="1">
      <alignment horizontal="left" vertical="top" wrapText="1"/>
    </xf>
    <xf numFmtId="0" fontId="4" fillId="5" borderId="11" xfId="3" applyFont="1" applyFill="1" applyBorder="1" applyAlignment="1">
      <alignment horizontal="right" vertical="top" wrapText="1"/>
    </xf>
    <xf numFmtId="0" fontId="4" fillId="7" borderId="12" xfId="3" applyFont="1" applyFill="1" applyBorder="1" applyAlignment="1">
      <alignment vertical="top" wrapText="1"/>
    </xf>
    <xf numFmtId="0" fontId="4" fillId="7" borderId="11" xfId="3" applyNumberFormat="1" applyFont="1" applyFill="1" applyBorder="1" applyAlignment="1">
      <alignment horizontal="right" vertical="top"/>
    </xf>
    <xf numFmtId="0" fontId="4" fillId="0" borderId="11" xfId="3" applyNumberFormat="1" applyFont="1" applyFill="1" applyBorder="1" applyAlignment="1">
      <alignment horizontal="right" vertical="top"/>
    </xf>
    <xf numFmtId="0" fontId="4" fillId="6" borderId="11" xfId="3" applyNumberFormat="1" applyFont="1" applyFill="1" applyBorder="1" applyAlignment="1">
      <alignment horizontal="right" vertical="top"/>
    </xf>
    <xf numFmtId="0" fontId="4" fillId="5" borderId="18" xfId="3" applyFont="1" applyFill="1" applyBorder="1" applyAlignment="1">
      <alignment horizontal="right" vertical="top" wrapText="1"/>
    </xf>
    <xf numFmtId="0" fontId="0" fillId="0" borderId="19" xfId="0" applyBorder="1" applyAlignment="1">
      <alignment wrapText="1"/>
    </xf>
    <xf numFmtId="0" fontId="5" fillId="4" borderId="20" xfId="3" applyFont="1" applyFill="1" applyBorder="1" applyAlignment="1">
      <alignment horizontal="right"/>
    </xf>
    <xf numFmtId="168" fontId="0" fillId="0" borderId="12" xfId="0" applyNumberFormat="1" applyFill="1" applyBorder="1" applyAlignment="1">
      <alignment wrapText="1"/>
    </xf>
    <xf numFmtId="0" fontId="6" fillId="4" borderId="11" xfId="3" applyFont="1" applyFill="1" applyBorder="1" applyAlignment="1">
      <alignment horizontal="right" wrapText="1"/>
    </xf>
    <xf numFmtId="0" fontId="4" fillId="0" borderId="11" xfId="3" applyFont="1" applyFill="1" applyBorder="1" applyAlignment="1">
      <alignment horizontal="right" wrapText="1"/>
    </xf>
    <xf numFmtId="0" fontId="4" fillId="6" borderId="11" xfId="3" applyFont="1" applyFill="1" applyBorder="1" applyAlignment="1">
      <alignment horizontal="right" wrapText="1"/>
    </xf>
    <xf numFmtId="0" fontId="4" fillId="7" borderId="11" xfId="3" applyFont="1" applyFill="1" applyBorder="1" applyAlignment="1">
      <alignment horizontal="right" wrapText="1"/>
    </xf>
    <xf numFmtId="0" fontId="9" fillId="0" borderId="12" xfId="0" applyFont="1" applyBorder="1" applyAlignment="1">
      <alignment horizontal="left" vertical="top" wrapText="1"/>
    </xf>
    <xf numFmtId="0" fontId="10" fillId="0" borderId="0" xfId="0" applyFont="1" applyBorder="1" applyAlignment="1">
      <alignment vertical="top" wrapText="1"/>
    </xf>
    <xf numFmtId="0" fontId="4" fillId="5" borderId="11" xfId="3" applyFont="1" applyFill="1" applyBorder="1" applyAlignment="1">
      <alignment horizontal="left" vertical="top" wrapText="1"/>
    </xf>
    <xf numFmtId="0" fontId="0" fillId="0" borderId="11" xfId="0" applyFont="1" applyBorder="1" applyAlignment="1">
      <alignment horizontal="left" vertical="top"/>
    </xf>
    <xf numFmtId="0" fontId="4" fillId="0" borderId="18" xfId="3" applyNumberFormat="1" applyFont="1" applyFill="1" applyBorder="1" applyAlignment="1">
      <alignment horizontal="right" vertical="top"/>
    </xf>
    <xf numFmtId="0" fontId="4" fillId="5" borderId="11" xfId="3" applyNumberFormat="1" applyFont="1" applyFill="1" applyBorder="1" applyAlignment="1">
      <alignment horizontal="right"/>
    </xf>
    <xf numFmtId="0" fontId="4" fillId="5" borderId="11" xfId="3" applyNumberFormat="1" applyFont="1" applyFill="1" applyBorder="1" applyAlignment="1">
      <alignment horizontal="right" vertical="top"/>
    </xf>
    <xf numFmtId="0" fontId="4" fillId="7" borderId="11" xfId="3" applyFont="1" applyFill="1" applyBorder="1" applyAlignment="1">
      <alignment horizontal="right"/>
    </xf>
    <xf numFmtId="0" fontId="4" fillId="0" borderId="11" xfId="3" applyNumberFormat="1" applyFont="1" applyFill="1" applyBorder="1" applyAlignment="1">
      <alignment horizontal="right"/>
    </xf>
    <xf numFmtId="168" fontId="11" fillId="0" borderId="12" xfId="3" applyNumberFormat="1" applyFont="1" applyBorder="1" applyAlignment="1">
      <alignment vertical="top" wrapText="1"/>
    </xf>
    <xf numFmtId="0" fontId="4" fillId="0" borderId="21" xfId="3" applyNumberFormat="1" applyFont="1" applyFill="1" applyBorder="1" applyAlignment="1">
      <alignment horizontal="right"/>
    </xf>
    <xf numFmtId="0" fontId="9" fillId="0" borderId="12" xfId="0" applyFont="1" applyBorder="1" applyAlignment="1">
      <alignment vertical="top" wrapText="1"/>
    </xf>
    <xf numFmtId="0" fontId="12" fillId="0" borderId="11" xfId="0" applyFont="1" applyBorder="1" applyAlignment="1">
      <alignment horizontal="right" vertical="top"/>
    </xf>
    <xf numFmtId="6" fontId="12" fillId="0" borderId="22" xfId="0" applyNumberFormat="1" applyFont="1" applyBorder="1" applyAlignment="1">
      <alignment horizontal="right" vertical="center" wrapText="1"/>
    </xf>
    <xf numFmtId="0" fontId="4" fillId="0" borderId="11" xfId="3" applyFont="1" applyBorder="1" applyAlignment="1">
      <alignment horizontal="right" vertical="top" wrapText="1"/>
    </xf>
    <xf numFmtId="0" fontId="2" fillId="0" borderId="4" xfId="3" applyFont="1" applyBorder="1"/>
    <xf numFmtId="0" fontId="0" fillId="0" borderId="0" xfId="0" applyFill="1"/>
    <xf numFmtId="0" fontId="5" fillId="4" borderId="20" xfId="2" applyFont="1" applyFill="1" applyBorder="1" applyAlignment="1">
      <alignment vertical="center"/>
    </xf>
    <xf numFmtId="0" fontId="2" fillId="0" borderId="11" xfId="3" applyBorder="1"/>
    <xf numFmtId="0" fontId="2" fillId="0" borderId="12" xfId="3" applyBorder="1" applyAlignment="1">
      <alignment wrapText="1"/>
    </xf>
    <xf numFmtId="0" fontId="0" fillId="0" borderId="24" xfId="0" applyBorder="1" applyAlignment="1">
      <alignment wrapText="1"/>
    </xf>
    <xf numFmtId="0" fontId="3" fillId="0" borderId="11" xfId="2" applyFont="1" applyFill="1" applyBorder="1" applyAlignment="1">
      <alignment vertical="center"/>
    </xf>
    <xf numFmtId="166" fontId="4" fillId="0" borderId="12" xfId="2" applyNumberFormat="1" applyFont="1" applyBorder="1" applyAlignment="1">
      <alignment vertical="top" wrapText="1"/>
    </xf>
    <xf numFmtId="0" fontId="6" fillId="4" borderId="11" xfId="2" applyFont="1" applyFill="1" applyBorder="1" applyAlignment="1">
      <alignment horizontal="right" vertical="top" wrapText="1"/>
    </xf>
    <xf numFmtId="0" fontId="4" fillId="0" borderId="11" xfId="2" applyFont="1" applyFill="1" applyBorder="1" applyAlignment="1">
      <alignment horizontal="right" vertical="top" wrapText="1"/>
    </xf>
    <xf numFmtId="0" fontId="4" fillId="6" borderId="11" xfId="2" applyFont="1" applyFill="1" applyBorder="1" applyAlignment="1">
      <alignment horizontal="right" vertical="top" wrapText="1"/>
    </xf>
    <xf numFmtId="0" fontId="4" fillId="7" borderId="11" xfId="2" applyFont="1" applyFill="1" applyBorder="1" applyAlignment="1">
      <alignment horizontal="right" vertical="top" wrapText="1"/>
    </xf>
    <xf numFmtId="0" fontId="4" fillId="0" borderId="11" xfId="2" applyFont="1" applyBorder="1" applyAlignment="1">
      <alignment vertical="top" wrapText="1"/>
    </xf>
    <xf numFmtId="0" fontId="4" fillId="0" borderId="11" xfId="2" applyNumberFormat="1" applyFont="1" applyFill="1" applyBorder="1" applyAlignment="1">
      <alignment horizontal="right" vertical="top"/>
    </xf>
    <xf numFmtId="0" fontId="4" fillId="6" borderId="11" xfId="2" applyNumberFormat="1" applyFont="1" applyFill="1" applyBorder="1" applyAlignment="1">
      <alignment horizontal="right" vertical="top"/>
    </xf>
    <xf numFmtId="0" fontId="4" fillId="5" borderId="11" xfId="2" applyNumberFormat="1" applyFont="1" applyFill="1" applyBorder="1" applyAlignment="1">
      <alignment horizontal="right" vertical="top"/>
    </xf>
    <xf numFmtId="166" fontId="4" fillId="5" borderId="12" xfId="2" applyNumberFormat="1" applyFont="1" applyFill="1" applyBorder="1" applyAlignment="1">
      <alignment vertical="top" wrapText="1"/>
    </xf>
    <xf numFmtId="0" fontId="0" fillId="0" borderId="9" xfId="0" applyBorder="1"/>
    <xf numFmtId="0" fontId="4" fillId="0" borderId="9" xfId="2" applyFont="1" applyFill="1" applyBorder="1" applyAlignment="1">
      <alignment vertical="top" wrapText="1"/>
    </xf>
    <xf numFmtId="168" fontId="4" fillId="0" borderId="9" xfId="2" applyNumberFormat="1" applyFont="1" applyFill="1" applyBorder="1" applyAlignment="1">
      <alignment vertical="top" wrapText="1"/>
    </xf>
    <xf numFmtId="166" fontId="4" fillId="0" borderId="9" xfId="2" applyNumberFormat="1" applyFont="1" applyBorder="1" applyAlignment="1">
      <alignment vertical="top" wrapText="1"/>
    </xf>
    <xf numFmtId="0" fontId="0" fillId="0" borderId="25" xfId="0" applyBorder="1"/>
    <xf numFmtId="0" fontId="2" fillId="8" borderId="11" xfId="3" applyFill="1" applyBorder="1"/>
    <xf numFmtId="0" fontId="2" fillId="8" borderId="12" xfId="3" applyFill="1" applyBorder="1" applyAlignment="1">
      <alignment wrapText="1"/>
    </xf>
    <xf numFmtId="0" fontId="4" fillId="0" borderId="18" xfId="2" applyNumberFormat="1" applyFont="1" applyFill="1" applyBorder="1" applyAlignment="1">
      <alignment horizontal="right" vertical="top"/>
    </xf>
    <xf numFmtId="0" fontId="7" fillId="0" borderId="0" xfId="0" applyFont="1" applyFill="1" applyBorder="1" applyAlignment="1">
      <alignment horizontal="left"/>
    </xf>
    <xf numFmtId="168" fontId="0" fillId="0" borderId="0" xfId="0" applyNumberFormat="1" applyBorder="1"/>
    <xf numFmtId="0" fontId="16" fillId="0" borderId="0" xfId="3" applyFont="1" applyFill="1" applyBorder="1" applyAlignment="1">
      <alignment vertical="top" wrapText="1"/>
    </xf>
    <xf numFmtId="168" fontId="15" fillId="0" borderId="0" xfId="3" applyNumberFormat="1" applyFont="1" applyFill="1" applyBorder="1" applyAlignment="1">
      <alignment vertical="top" wrapText="1"/>
    </xf>
    <xf numFmtId="168" fontId="0" fillId="0" borderId="0" xfId="0" applyNumberFormat="1" applyFill="1" applyBorder="1"/>
    <xf numFmtId="0" fontId="0" fillId="0" borderId="30" xfId="0" applyBorder="1"/>
    <xf numFmtId="0" fontId="18" fillId="11" borderId="20" xfId="0" applyFont="1" applyFill="1" applyBorder="1"/>
    <xf numFmtId="0" fontId="19" fillId="11" borderId="15" xfId="3" applyFont="1" applyFill="1" applyBorder="1" applyAlignment="1">
      <alignment vertical="top" wrapText="1"/>
    </xf>
    <xf numFmtId="168" fontId="18" fillId="11" borderId="15" xfId="0" applyNumberFormat="1" applyFont="1" applyFill="1" applyBorder="1"/>
    <xf numFmtId="168" fontId="18" fillId="11" borderId="16" xfId="0" applyNumberFormat="1" applyFont="1" applyFill="1" applyBorder="1"/>
    <xf numFmtId="0" fontId="18" fillId="9" borderId="27" xfId="0" applyFont="1" applyFill="1" applyBorder="1"/>
    <xf numFmtId="0" fontId="18" fillId="9" borderId="28" xfId="0" applyFont="1" applyFill="1" applyBorder="1"/>
    <xf numFmtId="0" fontId="18" fillId="9" borderId="28" xfId="0" applyFont="1" applyFill="1" applyBorder="1" applyAlignment="1">
      <alignment wrapText="1"/>
    </xf>
    <xf numFmtId="0" fontId="18" fillId="9" borderId="29" xfId="0" applyFont="1" applyFill="1" applyBorder="1" applyAlignment="1">
      <alignment wrapText="1"/>
    </xf>
    <xf numFmtId="0" fontId="0" fillId="0" borderId="0" xfId="0" applyFont="1" applyFill="1"/>
    <xf numFmtId="0" fontId="4" fillId="0" borderId="3" xfId="2" applyFont="1" applyFill="1" applyBorder="1" applyAlignment="1">
      <alignment vertical="top" wrapText="1"/>
    </xf>
    <xf numFmtId="0" fontId="4" fillId="0" borderId="1" xfId="2" applyFont="1" applyFill="1" applyBorder="1" applyAlignment="1">
      <alignment vertical="top" wrapText="1"/>
    </xf>
    <xf numFmtId="164" fontId="0" fillId="0" borderId="4" xfId="0" applyNumberFormat="1" applyFont="1" applyFill="1" applyBorder="1" applyAlignment="1">
      <alignment horizontal="right" vertical="top"/>
    </xf>
    <xf numFmtId="0" fontId="20" fillId="0" borderId="4" xfId="3" applyFont="1" applyFill="1" applyBorder="1" applyAlignment="1">
      <alignment horizontal="left" vertical="top" wrapText="1"/>
    </xf>
    <xf numFmtId="164" fontId="0" fillId="0" borderId="4" xfId="0" applyNumberFormat="1" applyBorder="1"/>
    <xf numFmtId="164" fontId="0" fillId="0" borderId="4" xfId="0" applyNumberFormat="1" applyBorder="1" applyAlignment="1">
      <alignment horizontal="right" vertical="top"/>
    </xf>
    <xf numFmtId="0" fontId="0" fillId="0" borderId="0" xfId="0" applyFont="1"/>
    <xf numFmtId="0" fontId="0" fillId="5" borderId="0" xfId="0" applyFont="1" applyFill="1"/>
    <xf numFmtId="0" fontId="0" fillId="5" borderId="4" xfId="0" applyFont="1" applyFill="1" applyBorder="1" applyAlignment="1">
      <alignment wrapText="1"/>
    </xf>
    <xf numFmtId="167" fontId="4" fillId="0" borderId="4" xfId="2" applyNumberFormat="1" applyFont="1" applyFill="1" applyBorder="1" applyAlignment="1">
      <alignment horizontal="left" vertical="top" wrapText="1"/>
    </xf>
    <xf numFmtId="168" fontId="0" fillId="0" borderId="4" xfId="0" applyNumberFormat="1" applyFont="1" applyBorder="1"/>
    <xf numFmtId="168" fontId="0" fillId="0" borderId="4" xfId="0" applyNumberFormat="1" applyFont="1" applyFill="1" applyBorder="1"/>
    <xf numFmtId="168" fontId="0" fillId="0" borderId="0" xfId="0" applyNumberFormat="1" applyFont="1" applyBorder="1"/>
    <xf numFmtId="0" fontId="0" fillId="0" borderId="0" xfId="0" applyFont="1" applyBorder="1"/>
    <xf numFmtId="168" fontId="0" fillId="0" borderId="0" xfId="0" applyNumberFormat="1" applyFont="1" applyFill="1" applyBorder="1"/>
    <xf numFmtId="0" fontId="0" fillId="0" borderId="3" xfId="0" applyFont="1" applyFill="1" applyBorder="1"/>
    <xf numFmtId="0" fontId="0" fillId="0" borderId="1" xfId="0" applyFont="1" applyFill="1" applyBorder="1"/>
    <xf numFmtId="168" fontId="0" fillId="0" borderId="6" xfId="0" applyNumberFormat="1" applyFill="1" applyBorder="1" applyAlignment="1"/>
    <xf numFmtId="0" fontId="15" fillId="10" borderId="32" xfId="3" applyFont="1" applyFill="1" applyBorder="1" applyAlignment="1">
      <alignment vertical="top" wrapText="1"/>
    </xf>
    <xf numFmtId="168" fontId="15" fillId="10" borderId="32" xfId="3" applyNumberFormat="1" applyFont="1" applyFill="1" applyBorder="1" applyAlignment="1">
      <alignment vertical="top" wrapText="1"/>
    </xf>
    <xf numFmtId="0" fontId="15" fillId="10" borderId="33" xfId="3" applyFont="1" applyFill="1" applyBorder="1" applyAlignment="1">
      <alignment vertical="top" wrapText="1"/>
    </xf>
    <xf numFmtId="0" fontId="4" fillId="0" borderId="34" xfId="2" applyNumberFormat="1" applyFont="1" applyFill="1" applyBorder="1" applyAlignment="1">
      <alignment horizontal="right" vertical="top"/>
    </xf>
    <xf numFmtId="168" fontId="0" fillId="0" borderId="25" xfId="0" applyNumberFormat="1" applyFill="1" applyBorder="1" applyAlignment="1"/>
    <xf numFmtId="0" fontId="4" fillId="0" borderId="6" xfId="2" applyFont="1" applyFill="1" applyBorder="1" applyAlignment="1">
      <alignment vertical="top" wrapText="1"/>
    </xf>
    <xf numFmtId="168" fontId="4" fillId="0" borderId="6" xfId="2" applyNumberFormat="1" applyFont="1" applyBorder="1" applyAlignment="1">
      <alignment vertical="top" wrapText="1"/>
    </xf>
    <xf numFmtId="166" fontId="4" fillId="0" borderId="6" xfId="2" applyNumberFormat="1" applyFont="1" applyBorder="1" applyAlignment="1">
      <alignment vertical="top" wrapText="1"/>
    </xf>
    <xf numFmtId="166" fontId="4" fillId="0" borderId="19" xfId="2" applyNumberFormat="1" applyFont="1" applyBorder="1" applyAlignment="1">
      <alignment vertical="top" wrapText="1"/>
    </xf>
    <xf numFmtId="0" fontId="15" fillId="10" borderId="25" xfId="3" applyFont="1" applyFill="1" applyBorder="1" applyAlignment="1">
      <alignment vertical="top" wrapText="1"/>
    </xf>
    <xf numFmtId="168" fontId="15" fillId="10" borderId="25" xfId="3" applyNumberFormat="1" applyFont="1" applyFill="1" applyBorder="1" applyAlignment="1">
      <alignment vertical="top" wrapText="1"/>
    </xf>
    <xf numFmtId="0" fontId="15" fillId="10" borderId="26" xfId="3" applyFont="1" applyFill="1" applyBorder="1" applyAlignment="1">
      <alignment vertical="top" wrapText="1"/>
    </xf>
    <xf numFmtId="0" fontId="15" fillId="10" borderId="35" xfId="3" applyFont="1" applyFill="1" applyBorder="1" applyAlignment="1">
      <alignment vertical="top" wrapText="1"/>
    </xf>
    <xf numFmtId="0" fontId="4" fillId="0" borderId="18" xfId="3" applyFont="1" applyFill="1" applyBorder="1" applyAlignment="1">
      <alignment horizontal="right" vertical="top" wrapText="1"/>
    </xf>
    <xf numFmtId="168" fontId="18" fillId="11" borderId="25" xfId="0" applyNumberFormat="1" applyFont="1" applyFill="1" applyBorder="1"/>
    <xf numFmtId="168" fontId="18" fillId="9" borderId="23" xfId="0" applyNumberFormat="1" applyFont="1" applyFill="1" applyBorder="1"/>
    <xf numFmtId="0" fontId="0" fillId="0" borderId="0" xfId="0"/>
    <xf numFmtId="0" fontId="4" fillId="0" borderId="4" xfId="2" applyFont="1" applyFill="1" applyBorder="1" applyAlignment="1">
      <alignment horizontal="left" vertical="top" wrapText="1"/>
    </xf>
    <xf numFmtId="0" fontId="4" fillId="12" borderId="11" xfId="3" applyFont="1" applyFill="1" applyBorder="1" applyAlignment="1">
      <alignment horizontal="right" vertical="top" wrapText="1"/>
    </xf>
    <xf numFmtId="0" fontId="4" fillId="12" borderId="4" xfId="3" applyFont="1" applyFill="1" applyBorder="1" applyAlignment="1">
      <alignment vertical="top" wrapText="1"/>
    </xf>
    <xf numFmtId="164" fontId="0" fillId="12" borderId="6" xfId="0" applyNumberFormat="1" applyFill="1" applyBorder="1" applyAlignment="1">
      <alignment vertical="top"/>
    </xf>
    <xf numFmtId="0" fontId="4" fillId="12" borderId="3" xfId="3" applyNumberFormat="1" applyFont="1" applyFill="1" applyBorder="1" applyAlignment="1">
      <alignment horizontal="left" vertical="top" wrapText="1"/>
    </xf>
    <xf numFmtId="0" fontId="0" fillId="12" borderId="11" xfId="0" applyFont="1" applyFill="1" applyBorder="1" applyAlignment="1">
      <alignment horizontal="left" vertical="top"/>
    </xf>
    <xf numFmtId="0" fontId="0" fillId="12" borderId="4" xfId="0" applyFont="1" applyFill="1" applyBorder="1" applyAlignment="1">
      <alignment horizontal="left" vertical="top" wrapText="1"/>
    </xf>
    <xf numFmtId="0" fontId="4" fillId="12" borderId="4" xfId="3" applyFont="1" applyFill="1" applyBorder="1" applyAlignment="1">
      <alignment horizontal="left" vertical="top" wrapText="1"/>
    </xf>
    <xf numFmtId="168" fontId="11" fillId="12" borderId="12" xfId="3" applyNumberFormat="1" applyFont="1" applyFill="1" applyBorder="1" applyAlignment="1">
      <alignment horizontal="left" vertical="top" wrapText="1"/>
    </xf>
    <xf numFmtId="17" fontId="4" fillId="5" borderId="4" xfId="3" applyNumberFormat="1" applyFont="1" applyFill="1" applyBorder="1" applyAlignment="1">
      <alignment horizontal="right" vertical="top" wrapText="1"/>
    </xf>
    <xf numFmtId="17" fontId="12" fillId="0" borderId="9" xfId="0" applyNumberFormat="1" applyFont="1" applyBorder="1" applyAlignment="1">
      <alignment horizontal="right" vertical="top" wrapText="1"/>
    </xf>
    <xf numFmtId="17" fontId="4" fillId="0" borderId="4" xfId="3" applyNumberFormat="1" applyFont="1" applyFill="1" applyBorder="1" applyAlignment="1">
      <alignment horizontal="left" vertical="top" wrapText="1"/>
    </xf>
    <xf numFmtId="17" fontId="4" fillId="12" borderId="4" xfId="3" applyNumberFormat="1" applyFont="1" applyFill="1" applyBorder="1" applyAlignment="1">
      <alignment horizontal="left" vertical="top" wrapText="1"/>
    </xf>
    <xf numFmtId="17" fontId="4" fillId="0" borderId="6" xfId="3" applyNumberFormat="1" applyFont="1" applyFill="1" applyBorder="1" applyAlignment="1">
      <alignment horizontal="left" vertical="top" wrapText="1"/>
    </xf>
    <xf numFmtId="17" fontId="4" fillId="5" borderId="4" xfId="3" applyNumberFormat="1" applyFont="1" applyFill="1" applyBorder="1" applyAlignment="1">
      <alignment horizontal="left" vertical="top" wrapText="1"/>
    </xf>
    <xf numFmtId="17" fontId="4" fillId="0" borderId="9" xfId="3" applyNumberFormat="1" applyFont="1" applyFill="1" applyBorder="1" applyAlignment="1">
      <alignment horizontal="left" vertical="top" wrapText="1"/>
    </xf>
    <xf numFmtId="17" fontId="12" fillId="0" borderId="4" xfId="0" applyNumberFormat="1" applyFont="1" applyBorder="1" applyAlignment="1">
      <alignment horizontal="left" vertical="top" wrapText="1"/>
    </xf>
    <xf numFmtId="0" fontId="4" fillId="0" borderId="6" xfId="2" applyFont="1" applyFill="1" applyBorder="1" applyAlignment="1">
      <alignment horizontal="left" vertical="top" wrapText="1"/>
    </xf>
    <xf numFmtId="16" fontId="4" fillId="0" borderId="4" xfId="2" applyNumberFormat="1" applyFont="1" applyFill="1" applyBorder="1" applyAlignment="1">
      <alignment horizontal="left" vertical="top" wrapText="1"/>
    </xf>
    <xf numFmtId="0" fontId="0" fillId="0" borderId="0" xfId="0"/>
    <xf numFmtId="0" fontId="4" fillId="0" borderId="4" xfId="3" applyFont="1" applyFill="1" applyBorder="1" applyAlignment="1">
      <alignment vertical="top" wrapText="1"/>
    </xf>
    <xf numFmtId="164" fontId="0" fillId="0" borderId="4" xfId="0" applyNumberFormat="1" applyBorder="1" applyAlignment="1">
      <alignment vertical="top"/>
    </xf>
    <xf numFmtId="0" fontId="4" fillId="0" borderId="4" xfId="2" applyFont="1" applyFill="1" applyBorder="1" applyAlignment="1">
      <alignment vertical="top" wrapText="1"/>
    </xf>
    <xf numFmtId="167" fontId="4" fillId="0" borderId="4" xfId="2" applyNumberFormat="1" applyFont="1" applyFill="1" applyBorder="1" applyAlignment="1">
      <alignment vertical="top" wrapText="1"/>
    </xf>
    <xf numFmtId="0" fontId="4" fillId="0" borderId="4" xfId="2" applyFont="1" applyFill="1" applyBorder="1" applyAlignment="1">
      <alignment horizontal="right" vertical="top" wrapText="1"/>
    </xf>
    <xf numFmtId="168" fontId="4" fillId="0" borderId="4" xfId="2" applyNumberFormat="1" applyFont="1" applyFill="1" applyBorder="1" applyAlignment="1">
      <alignment vertical="top" wrapText="1"/>
    </xf>
    <xf numFmtId="0" fontId="4" fillId="0" borderId="4" xfId="2" applyNumberFormat="1" applyFont="1" applyFill="1" applyBorder="1" applyAlignment="1">
      <alignment horizontal="right" vertical="top"/>
    </xf>
    <xf numFmtId="0" fontId="4" fillId="5" borderId="4" xfId="2" applyNumberFormat="1" applyFont="1" applyFill="1" applyBorder="1" applyAlignment="1">
      <alignment horizontal="right" vertical="top"/>
    </xf>
    <xf numFmtId="0" fontId="0" fillId="0" borderId="4" xfId="0" applyBorder="1" applyAlignment="1">
      <alignment vertical="top" wrapText="1"/>
    </xf>
    <xf numFmtId="0" fontId="0" fillId="0" borderId="4" xfId="0" applyFill="1" applyBorder="1" applyAlignment="1">
      <alignment vertical="top" wrapText="1"/>
    </xf>
    <xf numFmtId="0" fontId="4" fillId="0" borderId="3" xfId="3" applyNumberFormat="1" applyFont="1" applyFill="1" applyBorder="1" applyAlignment="1">
      <alignment horizontal="left" vertical="top" wrapText="1"/>
    </xf>
    <xf numFmtId="0" fontId="4" fillId="0" borderId="4" xfId="3" applyFont="1" applyFill="1" applyBorder="1" applyAlignment="1">
      <alignment horizontal="left" vertical="top" wrapText="1"/>
    </xf>
    <xf numFmtId="0" fontId="4" fillId="0" borderId="4" xfId="2" applyFont="1" applyFill="1" applyBorder="1" applyAlignment="1">
      <alignment horizontal="left" vertical="top" wrapText="1"/>
    </xf>
    <xf numFmtId="0" fontId="4" fillId="0" borderId="11" xfId="3" applyNumberFormat="1" applyFont="1" applyFill="1" applyBorder="1" applyAlignment="1">
      <alignment horizontal="right" vertical="top"/>
    </xf>
    <xf numFmtId="0" fontId="4" fillId="5" borderId="11" xfId="3" applyNumberFormat="1" applyFont="1" applyFill="1" applyBorder="1" applyAlignment="1">
      <alignment horizontal="right" vertical="top"/>
    </xf>
    <xf numFmtId="0" fontId="12" fillId="0" borderId="11" xfId="0" applyFont="1" applyBorder="1" applyAlignment="1">
      <alignment horizontal="right" vertical="top"/>
    </xf>
    <xf numFmtId="164" fontId="0" fillId="0" borderId="4" xfId="0" applyNumberFormat="1" applyBorder="1" applyAlignment="1">
      <alignment horizontal="right" vertical="top"/>
    </xf>
    <xf numFmtId="0" fontId="0" fillId="0" borderId="4" xfId="0" applyFont="1" applyFill="1" applyBorder="1" applyAlignment="1">
      <alignment vertical="top" wrapText="1"/>
    </xf>
    <xf numFmtId="16" fontId="0" fillId="0" borderId="4" xfId="2" applyNumberFormat="1" applyFont="1" applyFill="1" applyBorder="1" applyAlignment="1">
      <alignment horizontal="left" vertical="top" wrapText="1"/>
    </xf>
    <xf numFmtId="164" fontId="0" fillId="5" borderId="4" xfId="0" applyNumberFormat="1" applyFont="1" applyFill="1" applyBorder="1" applyAlignment="1">
      <alignment vertical="top"/>
    </xf>
    <xf numFmtId="0" fontId="14" fillId="0" borderId="4" xfId="0" applyFont="1" applyFill="1" applyBorder="1" applyAlignment="1">
      <alignment horizontal="right" vertical="top"/>
    </xf>
    <xf numFmtId="0" fontId="14" fillId="0" borderId="4" xfId="0" applyFont="1" applyFill="1" applyBorder="1" applyAlignment="1">
      <alignment horizontal="left" vertical="top" wrapText="1"/>
    </xf>
    <xf numFmtId="168" fontId="0" fillId="0" borderId="4" xfId="0" applyNumberFormat="1" applyFont="1" applyFill="1" applyBorder="1" applyAlignment="1">
      <alignment vertical="top"/>
    </xf>
    <xf numFmtId="0" fontId="14" fillId="0" borderId="4" xfId="0" applyFont="1" applyFill="1" applyBorder="1" applyAlignment="1">
      <alignment horizontal="left" vertical="top"/>
    </xf>
    <xf numFmtId="0" fontId="4" fillId="5" borderId="3" xfId="3" applyNumberFormat="1" applyFont="1" applyFill="1" applyBorder="1" applyAlignment="1">
      <alignment horizontal="left" vertical="top" wrapText="1"/>
    </xf>
    <xf numFmtId="0" fontId="4" fillId="0" borderId="4" xfId="3" applyNumberFormat="1" applyFont="1" applyFill="1" applyBorder="1" applyAlignment="1">
      <alignment horizontal="left" vertical="top" wrapText="1"/>
    </xf>
    <xf numFmtId="0" fontId="4" fillId="0" borderId="10" xfId="3" applyNumberFormat="1" applyFont="1" applyFill="1" applyBorder="1" applyAlignment="1">
      <alignment vertical="top" wrapText="1"/>
    </xf>
    <xf numFmtId="0" fontId="4" fillId="0" borderId="4" xfId="3" applyNumberFormat="1" applyFont="1" applyFill="1" applyBorder="1" applyAlignment="1">
      <alignment vertical="top" wrapText="1"/>
    </xf>
    <xf numFmtId="0" fontId="4" fillId="0" borderId="6" xfId="3" applyNumberFormat="1" applyFont="1" applyFill="1" applyBorder="1" applyAlignment="1">
      <alignment horizontal="left" vertical="top" wrapText="1"/>
    </xf>
    <xf numFmtId="0" fontId="0" fillId="0" borderId="0" xfId="0"/>
    <xf numFmtId="165" fontId="4" fillId="0" borderId="12" xfId="3" applyNumberFormat="1" applyFont="1" applyBorder="1" applyAlignment="1">
      <alignment vertical="top" wrapText="1"/>
    </xf>
    <xf numFmtId="0" fontId="9" fillId="0" borderId="12" xfId="0" applyFont="1" applyBorder="1" applyAlignment="1">
      <alignment horizontal="left" vertical="top" wrapText="1"/>
    </xf>
    <xf numFmtId="166" fontId="4" fillId="0" borderId="12" xfId="2" applyNumberFormat="1" applyFont="1" applyBorder="1" applyAlignment="1">
      <alignment vertical="top" wrapText="1"/>
    </xf>
    <xf numFmtId="0" fontId="18" fillId="13" borderId="36" xfId="0" applyFont="1" applyFill="1" applyBorder="1"/>
    <xf numFmtId="0" fontId="19" fillId="13" borderId="7" xfId="3" applyFont="1" applyFill="1" applyBorder="1" applyAlignment="1">
      <alignment vertical="top" wrapText="1"/>
    </xf>
    <xf numFmtId="168" fontId="18" fillId="13" borderId="7" xfId="0" applyNumberFormat="1" applyFont="1" applyFill="1" applyBorder="1"/>
    <xf numFmtId="168" fontId="18" fillId="13" borderId="23" xfId="0" applyNumberFormat="1" applyFont="1" applyFill="1" applyBorder="1"/>
    <xf numFmtId="168" fontId="18" fillId="13" borderId="37" xfId="0" applyNumberFormat="1" applyFont="1" applyFill="1" applyBorder="1"/>
    <xf numFmtId="165" fontId="0" fillId="0" borderId="0" xfId="0" applyNumberFormat="1"/>
    <xf numFmtId="0" fontId="21" fillId="0" borderId="0" xfId="0" applyFont="1"/>
    <xf numFmtId="165" fontId="10" fillId="0" borderId="0" xfId="0" applyNumberFormat="1" applyFont="1" applyBorder="1" applyAlignment="1">
      <alignment horizontal="justify" vertical="center" wrapText="1"/>
    </xf>
    <xf numFmtId="165" fontId="0" fillId="0" borderId="0" xfId="0" applyNumberFormat="1" applyBorder="1"/>
    <xf numFmtId="164" fontId="10" fillId="0" borderId="0" xfId="0" applyNumberFormat="1" applyFont="1" applyBorder="1" applyAlignment="1">
      <alignment horizontal="right" vertical="center" wrapText="1"/>
    </xf>
    <xf numFmtId="164" fontId="0" fillId="0" borderId="0" xfId="0" applyNumberFormat="1" applyFont="1" applyFill="1" applyBorder="1" applyAlignment="1">
      <alignment horizontal="justify" vertical="center" wrapText="1"/>
    </xf>
    <xf numFmtId="164" fontId="0" fillId="0" borderId="0" xfId="0" applyNumberFormat="1" applyBorder="1"/>
    <xf numFmtId="164" fontId="1" fillId="0" borderId="0" xfId="0" applyNumberFormat="1" applyFont="1" applyBorder="1" applyAlignment="1">
      <alignment horizontal="justify" vertical="center" wrapText="1"/>
    </xf>
    <xf numFmtId="0" fontId="5" fillId="4" borderId="3" xfId="3" applyFont="1" applyFill="1" applyBorder="1" applyAlignment="1">
      <alignment horizontal="left" vertical="center"/>
    </xf>
    <xf numFmtId="0" fontId="5" fillId="4" borderId="2" xfId="3" applyFont="1" applyFill="1" applyBorder="1" applyAlignment="1">
      <alignment horizontal="left" vertical="center"/>
    </xf>
    <xf numFmtId="0" fontId="5" fillId="4" borderId="1" xfId="3" applyFont="1" applyFill="1" applyBorder="1" applyAlignment="1">
      <alignment horizontal="left" vertical="center"/>
    </xf>
    <xf numFmtId="0" fontId="4" fillId="0" borderId="4" xfId="3" applyFont="1" applyFill="1" applyBorder="1" applyAlignment="1">
      <alignment horizontal="left" vertical="top" wrapText="1"/>
    </xf>
    <xf numFmtId="0" fontId="4" fillId="0" borderId="12" xfId="3" applyFont="1" applyFill="1" applyBorder="1" applyAlignment="1">
      <alignment horizontal="left" vertical="top" wrapText="1"/>
    </xf>
    <xf numFmtId="0" fontId="3" fillId="6" borderId="4" xfId="3" applyFont="1" applyFill="1" applyBorder="1" applyAlignment="1">
      <alignment horizontal="left" vertical="top" wrapText="1"/>
    </xf>
    <xf numFmtId="0" fontId="3" fillId="6" borderId="12" xfId="3" applyFont="1" applyFill="1" applyBorder="1" applyAlignment="1">
      <alignment horizontal="left" vertical="top" wrapText="1"/>
    </xf>
    <xf numFmtId="0" fontId="5" fillId="4" borderId="15" xfId="3" applyFont="1" applyFill="1" applyBorder="1" applyAlignment="1">
      <alignment horizontal="left" vertical="center"/>
    </xf>
    <xf numFmtId="0" fontId="5" fillId="4" borderId="16" xfId="3" applyFont="1" applyFill="1" applyBorder="1" applyAlignment="1">
      <alignment horizontal="left" vertical="center"/>
    </xf>
    <xf numFmtId="0" fontId="3" fillId="7" borderId="4" xfId="3" applyFont="1" applyFill="1" applyBorder="1" applyAlignment="1">
      <alignment horizontal="left" vertical="top" wrapText="1"/>
    </xf>
    <xf numFmtId="0" fontId="3" fillId="7" borderId="12" xfId="3" applyFont="1" applyFill="1" applyBorder="1" applyAlignment="1">
      <alignment horizontal="left" vertical="top" wrapText="1"/>
    </xf>
    <xf numFmtId="0" fontId="3" fillId="6" borderId="3" xfId="3" applyFont="1" applyFill="1" applyBorder="1" applyAlignment="1">
      <alignment horizontal="left" vertical="top" wrapText="1"/>
    </xf>
    <xf numFmtId="0" fontId="3" fillId="6" borderId="2" xfId="3" applyFont="1" applyFill="1" applyBorder="1" applyAlignment="1">
      <alignment horizontal="left" vertical="top" wrapText="1"/>
    </xf>
    <xf numFmtId="0" fontId="3" fillId="6" borderId="17" xfId="3" applyFont="1" applyFill="1" applyBorder="1" applyAlignment="1">
      <alignment horizontal="left" vertical="top" wrapText="1"/>
    </xf>
    <xf numFmtId="0" fontId="3" fillId="7" borderId="3" xfId="3" applyFont="1" applyFill="1" applyBorder="1" applyAlignment="1">
      <alignment horizontal="left" vertical="top" wrapText="1"/>
    </xf>
    <xf numFmtId="0" fontId="3" fillId="7" borderId="2" xfId="3" applyFont="1" applyFill="1" applyBorder="1" applyAlignment="1">
      <alignment horizontal="left" vertical="top" wrapText="1"/>
    </xf>
    <xf numFmtId="0" fontId="3" fillId="7" borderId="17" xfId="3" applyFont="1" applyFill="1" applyBorder="1" applyAlignment="1">
      <alignment horizontal="left" vertical="top" wrapText="1"/>
    </xf>
    <xf numFmtId="0" fontId="5" fillId="4" borderId="4" xfId="2" applyFont="1" applyFill="1" applyBorder="1" applyAlignment="1">
      <alignment horizontal="left" vertical="top" wrapText="1"/>
    </xf>
    <xf numFmtId="0" fontId="5" fillId="4" borderId="12" xfId="2" applyFont="1" applyFill="1" applyBorder="1" applyAlignment="1">
      <alignment horizontal="left" vertical="top" wrapText="1"/>
    </xf>
    <xf numFmtId="0" fontId="4" fillId="0" borderId="3" xfId="3" applyFont="1" applyFill="1" applyBorder="1" applyAlignment="1">
      <alignment vertical="top" wrapText="1"/>
    </xf>
    <xf numFmtId="0" fontId="4" fillId="0" borderId="2" xfId="3" applyFont="1" applyFill="1" applyBorder="1" applyAlignment="1">
      <alignment vertical="top" wrapText="1"/>
    </xf>
    <xf numFmtId="0" fontId="4" fillId="0" borderId="17" xfId="3" applyFont="1" applyFill="1" applyBorder="1" applyAlignment="1">
      <alignment vertical="top"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3" fillId="2" borderId="4" xfId="3" applyFont="1" applyFill="1" applyBorder="1" applyAlignment="1">
      <alignment horizontal="center" vertical="top" wrapText="1"/>
    </xf>
    <xf numFmtId="0" fontId="3" fillId="0" borderId="4" xfId="3" applyFont="1" applyFill="1" applyBorder="1" applyAlignment="1">
      <alignment horizontal="left" vertical="top" wrapText="1"/>
    </xf>
    <xf numFmtId="0" fontId="5" fillId="4" borderId="4" xfId="3" applyFont="1" applyFill="1" applyBorder="1" applyAlignment="1">
      <alignment horizontal="left" vertical="top" wrapText="1"/>
    </xf>
    <xf numFmtId="0" fontId="5" fillId="4" borderId="12" xfId="3" applyFont="1" applyFill="1" applyBorder="1" applyAlignment="1">
      <alignment horizontal="left" vertical="top" wrapText="1"/>
    </xf>
    <xf numFmtId="0" fontId="7" fillId="0" borderId="3" xfId="0" applyFont="1" applyFill="1" applyBorder="1" applyAlignment="1">
      <alignment horizontal="left"/>
    </xf>
    <xf numFmtId="0" fontId="7" fillId="0" borderId="2" xfId="0" applyFont="1" applyFill="1" applyBorder="1" applyAlignment="1">
      <alignment horizontal="left"/>
    </xf>
    <xf numFmtId="0" fontId="7" fillId="0" borderId="17" xfId="0" applyFont="1" applyFill="1" applyBorder="1" applyAlignment="1">
      <alignment horizontal="left"/>
    </xf>
    <xf numFmtId="0" fontId="5" fillId="4" borderId="4" xfId="3" applyFont="1" applyFill="1" applyBorder="1" applyAlignment="1">
      <alignment horizontal="left" vertical="center"/>
    </xf>
    <xf numFmtId="0" fontId="5" fillId="4" borderId="12" xfId="3" applyFont="1" applyFill="1" applyBorder="1" applyAlignment="1">
      <alignment horizontal="left" vertical="center"/>
    </xf>
    <xf numFmtId="0" fontId="4" fillId="0" borderId="3" xfId="3" applyFont="1" applyFill="1" applyBorder="1" applyAlignment="1">
      <alignment horizontal="left" vertical="top" wrapText="1"/>
    </xf>
    <xf numFmtId="0" fontId="4" fillId="0" borderId="2" xfId="3" applyFont="1" applyFill="1" applyBorder="1" applyAlignment="1">
      <alignment horizontal="left" vertical="top" wrapText="1"/>
    </xf>
    <xf numFmtId="0" fontId="4" fillId="0" borderId="1" xfId="3" applyFont="1" applyFill="1" applyBorder="1" applyAlignment="1">
      <alignment horizontal="left" vertical="top" wrapText="1"/>
    </xf>
    <xf numFmtId="166" fontId="4" fillId="0" borderId="6" xfId="2" applyNumberFormat="1" applyFont="1" applyBorder="1" applyAlignment="1">
      <alignment horizontal="center" vertical="top" wrapText="1"/>
    </xf>
    <xf numFmtId="166" fontId="4" fillId="0" borderId="7" xfId="2" applyNumberFormat="1" applyFont="1" applyBorder="1" applyAlignment="1">
      <alignment horizontal="center" vertical="top" wrapText="1"/>
    </xf>
    <xf numFmtId="166" fontId="4" fillId="0" borderId="9" xfId="2" applyNumberFormat="1" applyFont="1" applyBorder="1" applyAlignment="1">
      <alignment horizontal="center" vertical="top" wrapText="1"/>
    </xf>
    <xf numFmtId="0" fontId="5" fillId="4" borderId="3" xfId="2" applyFont="1" applyFill="1" applyBorder="1" applyAlignment="1">
      <alignment horizontal="left" vertical="top" wrapText="1"/>
    </xf>
    <xf numFmtId="0" fontId="5" fillId="4" borderId="2" xfId="2" applyFont="1" applyFill="1" applyBorder="1" applyAlignment="1">
      <alignment horizontal="left" vertical="top" wrapText="1"/>
    </xf>
    <xf numFmtId="0" fontId="5" fillId="4" borderId="1" xfId="2" applyFont="1" applyFill="1" applyBorder="1" applyAlignment="1">
      <alignment horizontal="left" vertical="top" wrapText="1"/>
    </xf>
    <xf numFmtId="0" fontId="17" fillId="10" borderId="34" xfId="0" applyFont="1" applyFill="1" applyBorder="1" applyAlignment="1">
      <alignment horizontal="center"/>
    </xf>
    <xf numFmtId="0" fontId="17" fillId="10" borderId="25" xfId="0" applyFont="1" applyFill="1" applyBorder="1" applyAlignment="1">
      <alignment horizontal="center"/>
    </xf>
    <xf numFmtId="0" fontId="17" fillId="10" borderId="31" xfId="0" applyFont="1" applyFill="1" applyBorder="1" applyAlignment="1">
      <alignment horizontal="center"/>
    </xf>
    <xf numFmtId="0" fontId="17" fillId="10" borderId="32" xfId="0" applyFont="1" applyFill="1" applyBorder="1" applyAlignment="1">
      <alignment horizontal="center"/>
    </xf>
    <xf numFmtId="0" fontId="3" fillId="7" borderId="6" xfId="3" applyFont="1" applyFill="1" applyBorder="1" applyAlignment="1">
      <alignment horizontal="left" vertical="top" wrapText="1"/>
    </xf>
    <xf numFmtId="0" fontId="3" fillId="7" borderId="19" xfId="3" applyFont="1" applyFill="1" applyBorder="1" applyAlignment="1">
      <alignment horizontal="left" vertical="top" wrapText="1"/>
    </xf>
    <xf numFmtId="0" fontId="4" fillId="0" borderId="3" xfId="2"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1" xfId="2" applyFont="1" applyFill="1" applyBorder="1" applyAlignment="1">
      <alignment horizontal="left" vertical="top" wrapText="1"/>
    </xf>
    <xf numFmtId="0" fontId="4" fillId="0" borderId="4" xfId="2" applyFont="1" applyFill="1" applyBorder="1" applyAlignment="1">
      <alignment horizontal="left" vertical="top" wrapText="1"/>
    </xf>
  </cellXfs>
  <cellStyles count="4">
    <cellStyle name="Currency" xfId="1" builtinId="4"/>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4"/>
  <sheetViews>
    <sheetView workbookViewId="0">
      <selection activeCell="BB4" sqref="BB4"/>
    </sheetView>
  </sheetViews>
  <sheetFormatPr defaultRowHeight="15" x14ac:dyDescent="0.25"/>
  <sheetData>
    <row r="1" spans="1:256" x14ac:dyDescent="0.25">
      <c r="A1" t="e">
        <f>IF(#REF!,"AAAAAH//fwA=",0)</f>
        <v>#REF!</v>
      </c>
      <c r="B1" t="e">
        <f>AND(#REF!,"AAAAAH//fwE=")</f>
        <v>#REF!</v>
      </c>
      <c r="C1" t="e">
        <f>AND(#REF!,"AAAAAH//fwI=")</f>
        <v>#REF!</v>
      </c>
      <c r="D1" t="e">
        <f>AND(#REF!,"AAAAAH//fwM=")</f>
        <v>#REF!</v>
      </c>
      <c r="E1" t="e">
        <f>AND(#REF!,"AAAAAH//fwQ=")</f>
        <v>#REF!</v>
      </c>
      <c r="F1" t="e">
        <f>AND(#REF!,"AAAAAH//fwU=")</f>
        <v>#REF!</v>
      </c>
      <c r="G1" t="e">
        <f>IF(#REF!,"AAAAAH//fwY=",0)</f>
        <v>#REF!</v>
      </c>
      <c r="H1" t="e">
        <f>AND(#REF!,"AAAAAH//fwc=")</f>
        <v>#REF!</v>
      </c>
      <c r="I1" t="e">
        <f>AND(#REF!,"AAAAAH//fwg=")</f>
        <v>#REF!</v>
      </c>
      <c r="J1" t="e">
        <f>AND(#REF!,"AAAAAH//fwk=")</f>
        <v>#REF!</v>
      </c>
      <c r="K1" t="e">
        <f>AND(#REF!,"AAAAAH//fwo=")</f>
        <v>#REF!</v>
      </c>
      <c r="L1" t="e">
        <f>AND(#REF!,"AAAAAH//fws=")</f>
        <v>#REF!</v>
      </c>
      <c r="M1" t="e">
        <f>IF(#REF!,"AAAAAH//fww=",0)</f>
        <v>#REF!</v>
      </c>
      <c r="N1" t="e">
        <f>AND(#REF!,"AAAAAH//fw0=")</f>
        <v>#REF!</v>
      </c>
      <c r="O1" t="e">
        <f>AND(#REF!,"AAAAAH//fw4=")</f>
        <v>#REF!</v>
      </c>
      <c r="P1" t="e">
        <f>AND(#REF!,"AAAAAH//fw8=")</f>
        <v>#REF!</v>
      </c>
      <c r="Q1" t="e">
        <f>AND(#REF!,"AAAAAH//fxA=")</f>
        <v>#REF!</v>
      </c>
      <c r="R1" t="e">
        <f>AND(#REF!,"AAAAAH//fxE=")</f>
        <v>#REF!</v>
      </c>
      <c r="S1" t="e">
        <f>IF(#REF!,"AAAAAH//fxI=",0)</f>
        <v>#REF!</v>
      </c>
      <c r="T1" t="e">
        <f>AND(#REF!,"AAAAAH//fxM=")</f>
        <v>#REF!</v>
      </c>
      <c r="U1" t="e">
        <f>AND(#REF!,"AAAAAH//fxQ=")</f>
        <v>#REF!</v>
      </c>
      <c r="V1" t="e">
        <f>AND(#REF!,"AAAAAH//fxU=")</f>
        <v>#REF!</v>
      </c>
      <c r="W1" t="e">
        <f>AND(#REF!,"AAAAAH//fxY=")</f>
        <v>#REF!</v>
      </c>
      <c r="X1" t="e">
        <f>AND(#REF!,"AAAAAH//fxc=")</f>
        <v>#REF!</v>
      </c>
      <c r="Y1" t="e">
        <f>IF(#REF!,"AAAAAH//fxg=",0)</f>
        <v>#REF!</v>
      </c>
      <c r="Z1" t="e">
        <f>AND(#REF!,"AAAAAH//fxk=")</f>
        <v>#REF!</v>
      </c>
      <c r="AA1" t="e">
        <f>AND(#REF!,"AAAAAH//fxo=")</f>
        <v>#REF!</v>
      </c>
      <c r="AB1" t="e">
        <f>AND(#REF!,"AAAAAH//fxs=")</f>
        <v>#REF!</v>
      </c>
      <c r="AC1" t="e">
        <f>AND(#REF!,"AAAAAH//fxw=")</f>
        <v>#REF!</v>
      </c>
      <c r="AD1" t="e">
        <f>AND(#REF!,"AAAAAH//fx0=")</f>
        <v>#REF!</v>
      </c>
      <c r="AE1" t="e">
        <f>IF(#REF!,"AAAAAH//fx4=",0)</f>
        <v>#REF!</v>
      </c>
      <c r="AF1" t="e">
        <f>AND(#REF!,"AAAAAH//fx8=")</f>
        <v>#REF!</v>
      </c>
      <c r="AG1" t="e">
        <f>AND(#REF!,"AAAAAH//fyA=")</f>
        <v>#REF!</v>
      </c>
      <c r="AH1" t="e">
        <f>AND(#REF!,"AAAAAH//fyE=")</f>
        <v>#REF!</v>
      </c>
      <c r="AI1" t="e">
        <f>AND(#REF!,"AAAAAH//fyI=")</f>
        <v>#REF!</v>
      </c>
      <c r="AJ1" t="e">
        <f>AND(#REF!,"AAAAAH//fyM=")</f>
        <v>#REF!</v>
      </c>
      <c r="AK1" t="e">
        <f>IF(#REF!,"AAAAAH//fyQ=",0)</f>
        <v>#REF!</v>
      </c>
      <c r="AL1" t="e">
        <f>AND(#REF!,"AAAAAH//fyU=")</f>
        <v>#REF!</v>
      </c>
      <c r="AM1" t="e">
        <f>AND(#REF!,"AAAAAH//fyY=")</f>
        <v>#REF!</v>
      </c>
      <c r="AN1" t="e">
        <f>AND(#REF!,"AAAAAH//fyc=")</f>
        <v>#REF!</v>
      </c>
      <c r="AO1" t="e">
        <f>AND(#REF!,"AAAAAH//fyg=")</f>
        <v>#REF!</v>
      </c>
      <c r="AP1" t="e">
        <f>AND(#REF!,"AAAAAH//fyk=")</f>
        <v>#REF!</v>
      </c>
      <c r="AQ1" t="e">
        <f>IF(#REF!,"AAAAAH//fyo=",0)</f>
        <v>#REF!</v>
      </c>
      <c r="AR1" t="e">
        <f>AND(#REF!,"AAAAAH//fys=")</f>
        <v>#REF!</v>
      </c>
      <c r="AS1" t="e">
        <f>AND(#REF!,"AAAAAH//fyw=")</f>
        <v>#REF!</v>
      </c>
      <c r="AT1" t="e">
        <f>AND(#REF!,"AAAAAH//fy0=")</f>
        <v>#REF!</v>
      </c>
      <c r="AU1" t="e">
        <f>AND(#REF!,"AAAAAH//fy4=")</f>
        <v>#REF!</v>
      </c>
      <c r="AV1" t="e">
        <f>AND(#REF!,"AAAAAH//fy8=")</f>
        <v>#REF!</v>
      </c>
      <c r="AW1" t="e">
        <f>IF(#REF!,"AAAAAH//fzA=",0)</f>
        <v>#REF!</v>
      </c>
      <c r="AX1" t="e">
        <f>AND(#REF!,"AAAAAH//fzE=")</f>
        <v>#REF!</v>
      </c>
      <c r="AY1" t="e">
        <f>AND(#REF!,"AAAAAH//fzI=")</f>
        <v>#REF!</v>
      </c>
      <c r="AZ1" t="e">
        <f>AND(#REF!,"AAAAAH//fzM=")</f>
        <v>#REF!</v>
      </c>
      <c r="BA1" t="e">
        <f>AND(#REF!,"AAAAAH//fzQ=")</f>
        <v>#REF!</v>
      </c>
      <c r="BB1" t="e">
        <f>AND(#REF!,"AAAAAH//fzU=")</f>
        <v>#REF!</v>
      </c>
      <c r="BC1" t="e">
        <f>IF(#REF!,"AAAAAH//fzY=",0)</f>
        <v>#REF!</v>
      </c>
      <c r="BD1" t="e">
        <f>AND(#REF!,"AAAAAH//fzc=")</f>
        <v>#REF!</v>
      </c>
      <c r="BE1" t="e">
        <f>AND(#REF!,"AAAAAH//fzg=")</f>
        <v>#REF!</v>
      </c>
      <c r="BF1" t="e">
        <f>AND(#REF!,"AAAAAH//fzk=")</f>
        <v>#REF!</v>
      </c>
      <c r="BG1" t="e">
        <f>AND(#REF!,"AAAAAH//fzo=")</f>
        <v>#REF!</v>
      </c>
      <c r="BH1" t="e">
        <f>AND(#REF!,"AAAAAH//fzs=")</f>
        <v>#REF!</v>
      </c>
      <c r="BI1" t="e">
        <f>IF(#REF!,"AAAAAH//fzw=",0)</f>
        <v>#REF!</v>
      </c>
      <c r="BJ1" t="e">
        <f>AND(#REF!,"AAAAAH//fz0=")</f>
        <v>#REF!</v>
      </c>
      <c r="BK1" t="e">
        <f>AND(#REF!,"AAAAAH//fz4=")</f>
        <v>#REF!</v>
      </c>
      <c r="BL1" t="e">
        <f>AND(#REF!,"AAAAAH//fz8=")</f>
        <v>#REF!</v>
      </c>
      <c r="BM1" t="e">
        <f>AND(#REF!,"AAAAAH//f0A=")</f>
        <v>#REF!</v>
      </c>
      <c r="BN1" t="e">
        <f>AND(#REF!,"AAAAAH//f0E=")</f>
        <v>#REF!</v>
      </c>
      <c r="BO1" t="e">
        <f>IF(#REF!,"AAAAAH//f0I=",0)</f>
        <v>#REF!</v>
      </c>
      <c r="BP1" t="e">
        <f>AND(#REF!,"AAAAAH//f0M=")</f>
        <v>#REF!</v>
      </c>
      <c r="BQ1" t="e">
        <f>AND(#REF!,"AAAAAH//f0Q=")</f>
        <v>#REF!</v>
      </c>
      <c r="BR1" t="e">
        <f>AND(#REF!,"AAAAAH//f0U=")</f>
        <v>#REF!</v>
      </c>
      <c r="BS1" t="e">
        <f>AND(#REF!,"AAAAAH//f0Y=")</f>
        <v>#REF!</v>
      </c>
      <c r="BT1" t="e">
        <f>AND(#REF!,"AAAAAH//f0c=")</f>
        <v>#REF!</v>
      </c>
      <c r="BU1" t="e">
        <f>IF(#REF!,"AAAAAH//f0g=",0)</f>
        <v>#REF!</v>
      </c>
      <c r="BV1" t="e">
        <f>AND(#REF!,"AAAAAH//f0k=")</f>
        <v>#REF!</v>
      </c>
      <c r="BW1" t="e">
        <f>AND(#REF!,"AAAAAH//f0o=")</f>
        <v>#REF!</v>
      </c>
      <c r="BX1" t="e">
        <f>AND(#REF!,"AAAAAH//f0s=")</f>
        <v>#REF!</v>
      </c>
      <c r="BY1" t="e">
        <f>AND(#REF!,"AAAAAH//f0w=")</f>
        <v>#REF!</v>
      </c>
      <c r="BZ1" t="e">
        <f>AND(#REF!,"AAAAAH//f00=")</f>
        <v>#REF!</v>
      </c>
      <c r="CA1" t="e">
        <f>IF(#REF!,"AAAAAH//f04=",0)</f>
        <v>#REF!</v>
      </c>
      <c r="CB1" t="e">
        <f>AND(#REF!,"AAAAAH//f08=")</f>
        <v>#REF!</v>
      </c>
      <c r="CC1" t="e">
        <f>AND(#REF!,"AAAAAH//f1A=")</f>
        <v>#REF!</v>
      </c>
      <c r="CD1" t="e">
        <f>AND(#REF!,"AAAAAH//f1E=")</f>
        <v>#REF!</v>
      </c>
      <c r="CE1" t="e">
        <f>AND(#REF!,"AAAAAH//f1I=")</f>
        <v>#REF!</v>
      </c>
      <c r="CF1" t="e">
        <f>AND(#REF!,"AAAAAH//f1M=")</f>
        <v>#REF!</v>
      </c>
      <c r="CG1" t="e">
        <f>IF(#REF!,"AAAAAH//f1Q=",0)</f>
        <v>#REF!</v>
      </c>
      <c r="CH1" t="e">
        <f>AND(#REF!,"AAAAAH//f1U=")</f>
        <v>#REF!</v>
      </c>
      <c r="CI1" t="e">
        <f>AND(#REF!,"AAAAAH//f1Y=")</f>
        <v>#REF!</v>
      </c>
      <c r="CJ1" t="e">
        <f>AND(#REF!,"AAAAAH//f1c=")</f>
        <v>#REF!</v>
      </c>
      <c r="CK1" t="e">
        <f>AND(#REF!,"AAAAAH//f1g=")</f>
        <v>#REF!</v>
      </c>
      <c r="CL1" t="e">
        <f>AND(#REF!,"AAAAAH//f1k=")</f>
        <v>#REF!</v>
      </c>
      <c r="CM1" t="e">
        <f>IF(#REF!,"AAAAAH//f1o=",0)</f>
        <v>#REF!</v>
      </c>
      <c r="CN1" t="e">
        <f>IF(#REF!,"AAAAAH//f1s=",0)</f>
        <v>#REF!</v>
      </c>
      <c r="CO1" t="e">
        <f>IF(#REF!,"AAAAAH//f1w=",0)</f>
        <v>#REF!</v>
      </c>
      <c r="CP1" t="e">
        <f>IF(#REF!,"AAAAAH//f10=",0)</f>
        <v>#REF!</v>
      </c>
      <c r="CQ1" t="e">
        <f>IF(#REF!,"AAAAAH//f14=",0)</f>
        <v>#REF!</v>
      </c>
      <c r="CR1" t="e">
        <f>IF(#REF!,"AAAAAH//f18=",0)</f>
        <v>#REF!</v>
      </c>
      <c r="CS1" t="e">
        <f>AND(#REF!,"AAAAAH//f2A=")</f>
        <v>#REF!</v>
      </c>
      <c r="CT1" t="e">
        <f>AND(#REF!,"AAAAAH//f2E=")</f>
        <v>#REF!</v>
      </c>
      <c r="CU1" t="e">
        <f>AND(#REF!,"AAAAAH//f2I=")</f>
        <v>#REF!</v>
      </c>
      <c r="CV1" t="e">
        <f>AND(#REF!,"AAAAAH//f2M=")</f>
        <v>#REF!</v>
      </c>
      <c r="CW1" t="e">
        <f>AND(#REF!,"AAAAAH//f2Q=")</f>
        <v>#REF!</v>
      </c>
      <c r="CX1" t="e">
        <f>AND(#REF!,"AAAAAH//f2U=")</f>
        <v>#REF!</v>
      </c>
      <c r="CY1" t="e">
        <f>AND(#REF!,"AAAAAH//f2Y=")</f>
        <v>#REF!</v>
      </c>
      <c r="CZ1" t="e">
        <f>AND(#REF!,"AAAAAH//f2c=")</f>
        <v>#REF!</v>
      </c>
      <c r="DA1" t="e">
        <f>AND(#REF!,"AAAAAH//f2g=")</f>
        <v>#REF!</v>
      </c>
      <c r="DB1" t="e">
        <f>AND(#REF!,"AAAAAH//f2k=")</f>
        <v>#REF!</v>
      </c>
      <c r="DC1" t="e">
        <f>AND(#REF!,"AAAAAH//f2o=")</f>
        <v>#REF!</v>
      </c>
      <c r="DD1" t="e">
        <f>AND(#REF!,"AAAAAH//f2s=")</f>
        <v>#REF!</v>
      </c>
      <c r="DE1" t="e">
        <f>AND(#REF!,"AAAAAH//f2w=")</f>
        <v>#REF!</v>
      </c>
      <c r="DF1" t="e">
        <f>AND(#REF!,"AAAAAH//f20=")</f>
        <v>#REF!</v>
      </c>
      <c r="DG1" t="e">
        <f>IF(#REF!,"AAAAAH//f24=",0)</f>
        <v>#REF!</v>
      </c>
      <c r="DH1" t="e">
        <f>AND(#REF!,"AAAAAH//f28=")</f>
        <v>#REF!</v>
      </c>
      <c r="DI1" t="e">
        <f>AND(#REF!,"AAAAAH//f3A=")</f>
        <v>#REF!</v>
      </c>
      <c r="DJ1" t="e">
        <f>AND(#REF!,"AAAAAH//f3E=")</f>
        <v>#REF!</v>
      </c>
      <c r="DK1" t="e">
        <f>AND(#REF!,"AAAAAH//f3I=")</f>
        <v>#REF!</v>
      </c>
      <c r="DL1" t="e">
        <f>AND(#REF!,"AAAAAH//f3M=")</f>
        <v>#REF!</v>
      </c>
      <c r="DM1" t="e">
        <f>AND(#REF!,"AAAAAH//f3Q=")</f>
        <v>#REF!</v>
      </c>
      <c r="DN1" t="e">
        <f>AND(#REF!,"AAAAAH//f3U=")</f>
        <v>#REF!</v>
      </c>
      <c r="DO1" t="e">
        <f>AND(#REF!,"AAAAAH//f3Y=")</f>
        <v>#REF!</v>
      </c>
      <c r="DP1" t="e">
        <f>AND(#REF!,"AAAAAH//f3c=")</f>
        <v>#REF!</v>
      </c>
      <c r="DQ1" t="e">
        <f>AND(#REF!,"AAAAAH//f3g=")</f>
        <v>#REF!</v>
      </c>
      <c r="DR1" t="e">
        <f>AND(#REF!,"AAAAAH//f3k=")</f>
        <v>#REF!</v>
      </c>
      <c r="DS1" t="e">
        <f>AND(#REF!,"AAAAAH//f3o=")</f>
        <v>#REF!</v>
      </c>
      <c r="DT1" t="e">
        <f>AND(#REF!,"AAAAAH//f3s=")</f>
        <v>#REF!</v>
      </c>
      <c r="DU1" t="e">
        <f>AND(#REF!,"AAAAAH//f3w=")</f>
        <v>#REF!</v>
      </c>
      <c r="DV1" t="e">
        <f>IF(#REF!,"AAAAAH//f30=",0)</f>
        <v>#REF!</v>
      </c>
      <c r="DW1" t="e">
        <f>AND(#REF!,"AAAAAH//f34=")</f>
        <v>#REF!</v>
      </c>
      <c r="DX1" t="e">
        <f>AND(#REF!,"AAAAAH//f38=")</f>
        <v>#REF!</v>
      </c>
      <c r="DY1" t="e">
        <f>AND(#REF!,"AAAAAH//f4A=")</f>
        <v>#REF!</v>
      </c>
      <c r="DZ1" t="e">
        <f>AND(#REF!,"AAAAAH//f4E=")</f>
        <v>#REF!</v>
      </c>
      <c r="EA1" t="e">
        <f>AND(#REF!,"AAAAAH//f4I=")</f>
        <v>#REF!</v>
      </c>
      <c r="EB1" t="e">
        <f>AND(#REF!,"AAAAAH//f4M=")</f>
        <v>#REF!</v>
      </c>
      <c r="EC1" t="e">
        <f>AND(#REF!,"AAAAAH//f4Q=")</f>
        <v>#REF!</v>
      </c>
      <c r="ED1" t="e">
        <f>AND(#REF!,"AAAAAH//f4U=")</f>
        <v>#REF!</v>
      </c>
      <c r="EE1" t="e">
        <f>AND(#REF!,"AAAAAH//f4Y=")</f>
        <v>#REF!</v>
      </c>
      <c r="EF1" t="e">
        <f>AND(#REF!,"AAAAAH//f4c=")</f>
        <v>#REF!</v>
      </c>
      <c r="EG1" t="e">
        <f>AND(#REF!,"AAAAAH//f4g=")</f>
        <v>#REF!</v>
      </c>
      <c r="EH1" t="e">
        <f>AND(#REF!,"AAAAAH//f4k=")</f>
        <v>#REF!</v>
      </c>
      <c r="EI1" t="e">
        <f>AND(#REF!,"AAAAAH//f4o=")</f>
        <v>#REF!</v>
      </c>
      <c r="EJ1" t="e">
        <f>AND(#REF!,"AAAAAH//f4s=")</f>
        <v>#REF!</v>
      </c>
      <c r="EK1" t="e">
        <f>IF(#REF!,"AAAAAH//f4w=",0)</f>
        <v>#REF!</v>
      </c>
      <c r="EL1" t="e">
        <f>AND(#REF!,"AAAAAH//f40=")</f>
        <v>#REF!</v>
      </c>
      <c r="EM1" t="e">
        <f>AND(#REF!,"AAAAAH//f44=")</f>
        <v>#REF!</v>
      </c>
      <c r="EN1" t="e">
        <f>AND(#REF!,"AAAAAH//f48=")</f>
        <v>#REF!</v>
      </c>
      <c r="EO1" t="e">
        <f>AND(#REF!,"AAAAAH//f5A=")</f>
        <v>#REF!</v>
      </c>
      <c r="EP1" t="e">
        <f>AND(#REF!,"AAAAAH//f5E=")</f>
        <v>#REF!</v>
      </c>
      <c r="EQ1" t="e">
        <f>AND(#REF!,"AAAAAH//f5I=")</f>
        <v>#REF!</v>
      </c>
      <c r="ER1" t="e">
        <f>AND(#REF!,"AAAAAH//f5M=")</f>
        <v>#REF!</v>
      </c>
      <c r="ES1" t="e">
        <f>AND(#REF!,"AAAAAH//f5Q=")</f>
        <v>#REF!</v>
      </c>
      <c r="ET1" t="e">
        <f>AND(#REF!,"AAAAAH//f5U=")</f>
        <v>#REF!</v>
      </c>
      <c r="EU1" t="e">
        <f>AND(#REF!,"AAAAAH//f5Y=")</f>
        <v>#REF!</v>
      </c>
      <c r="EV1" t="e">
        <f>AND(#REF!,"AAAAAH//f5c=")</f>
        <v>#REF!</v>
      </c>
      <c r="EW1" t="e">
        <f>AND(#REF!,"AAAAAH//f5g=")</f>
        <v>#REF!</v>
      </c>
      <c r="EX1" t="e">
        <f>AND(#REF!,"AAAAAH//f5k=")</f>
        <v>#REF!</v>
      </c>
      <c r="EY1" t="e">
        <f>AND(#REF!,"AAAAAH//f5o=")</f>
        <v>#REF!</v>
      </c>
      <c r="EZ1" t="e">
        <f>IF(#REF!,"AAAAAH//f5s=",0)</f>
        <v>#REF!</v>
      </c>
      <c r="FA1" t="e">
        <f>AND(#REF!,"AAAAAH//f5w=")</f>
        <v>#REF!</v>
      </c>
      <c r="FB1" t="e">
        <f>AND(#REF!,"AAAAAH//f50=")</f>
        <v>#REF!</v>
      </c>
      <c r="FC1" t="e">
        <f>AND(#REF!,"AAAAAH//f54=")</f>
        <v>#REF!</v>
      </c>
      <c r="FD1" t="e">
        <f>AND(#REF!,"AAAAAH//f58=")</f>
        <v>#REF!</v>
      </c>
      <c r="FE1" t="e">
        <f>AND(#REF!,"AAAAAH//f6A=")</f>
        <v>#REF!</v>
      </c>
      <c r="FF1" t="e">
        <f>AND(#REF!,"AAAAAH//f6E=")</f>
        <v>#REF!</v>
      </c>
      <c r="FG1" t="e">
        <f>AND(#REF!,"AAAAAH//f6I=")</f>
        <v>#REF!</v>
      </c>
      <c r="FH1" t="e">
        <f>AND(#REF!,"AAAAAH//f6M=")</f>
        <v>#REF!</v>
      </c>
      <c r="FI1" t="e">
        <f>AND(#REF!,"AAAAAH//f6Q=")</f>
        <v>#REF!</v>
      </c>
      <c r="FJ1" t="e">
        <f>AND(#REF!,"AAAAAH//f6U=")</f>
        <v>#REF!</v>
      </c>
      <c r="FK1" t="e">
        <f>AND(#REF!,"AAAAAH//f6Y=")</f>
        <v>#REF!</v>
      </c>
      <c r="FL1" t="e">
        <f>AND(#REF!,"AAAAAH//f6c=")</f>
        <v>#REF!</v>
      </c>
      <c r="FM1" t="e">
        <f>AND(#REF!,"AAAAAH//f6g=")</f>
        <v>#REF!</v>
      </c>
      <c r="FN1" t="e">
        <f>AND(#REF!,"AAAAAH//f6k=")</f>
        <v>#REF!</v>
      </c>
      <c r="FO1" t="e">
        <f>IF(#REF!,"AAAAAH//f6o=",0)</f>
        <v>#REF!</v>
      </c>
      <c r="FP1" t="e">
        <f>AND(#REF!,"AAAAAH//f6s=")</f>
        <v>#REF!</v>
      </c>
      <c r="FQ1" t="e">
        <f>AND(#REF!,"AAAAAH//f6w=")</f>
        <v>#REF!</v>
      </c>
      <c r="FR1" t="e">
        <f>AND(#REF!,"AAAAAH//f60=")</f>
        <v>#REF!</v>
      </c>
      <c r="FS1" t="e">
        <f>AND(#REF!,"AAAAAH//f64=")</f>
        <v>#REF!</v>
      </c>
      <c r="FT1" t="e">
        <f>AND(#REF!,"AAAAAH//f68=")</f>
        <v>#REF!</v>
      </c>
      <c r="FU1" t="e">
        <f>AND(#REF!,"AAAAAH//f7A=")</f>
        <v>#REF!</v>
      </c>
      <c r="FV1" t="e">
        <f>AND(#REF!,"AAAAAH//f7E=")</f>
        <v>#REF!</v>
      </c>
      <c r="FW1" t="e">
        <f>AND(#REF!,"AAAAAH//f7I=")</f>
        <v>#REF!</v>
      </c>
      <c r="FX1" t="e">
        <f>AND(#REF!,"AAAAAH//f7M=")</f>
        <v>#REF!</v>
      </c>
      <c r="FY1" t="e">
        <f>AND(#REF!,"AAAAAH//f7Q=")</f>
        <v>#REF!</v>
      </c>
      <c r="FZ1" t="e">
        <f>AND(#REF!,"AAAAAH//f7U=")</f>
        <v>#REF!</v>
      </c>
      <c r="GA1" t="e">
        <f>AND(#REF!,"AAAAAH//f7Y=")</f>
        <v>#REF!</v>
      </c>
      <c r="GB1" t="e">
        <f>AND(#REF!,"AAAAAH//f7c=")</f>
        <v>#REF!</v>
      </c>
      <c r="GC1" t="e">
        <f>AND(#REF!,"AAAAAH//f7g=")</f>
        <v>#REF!</v>
      </c>
      <c r="GD1" t="e">
        <f>IF(#REF!,"AAAAAH//f7k=",0)</f>
        <v>#REF!</v>
      </c>
      <c r="GE1" t="e">
        <f>AND(#REF!,"AAAAAH//f7o=")</f>
        <v>#REF!</v>
      </c>
      <c r="GF1" t="e">
        <f>AND(#REF!,"AAAAAH//f7s=")</f>
        <v>#REF!</v>
      </c>
      <c r="GG1" t="e">
        <f>AND(#REF!,"AAAAAH//f7w=")</f>
        <v>#REF!</v>
      </c>
      <c r="GH1" t="e">
        <f>AND(#REF!,"AAAAAH//f70=")</f>
        <v>#REF!</v>
      </c>
      <c r="GI1" t="e">
        <f>AND(#REF!,"AAAAAH//f74=")</f>
        <v>#REF!</v>
      </c>
      <c r="GJ1" t="e">
        <f>AND(#REF!,"AAAAAH//f78=")</f>
        <v>#REF!</v>
      </c>
      <c r="GK1" t="e">
        <f>AND(#REF!,"AAAAAH//f8A=")</f>
        <v>#REF!</v>
      </c>
      <c r="GL1" t="e">
        <f>AND(#REF!,"AAAAAH//f8E=")</f>
        <v>#REF!</v>
      </c>
      <c r="GM1" t="e">
        <f>AND(#REF!,"AAAAAH//f8I=")</f>
        <v>#REF!</v>
      </c>
      <c r="GN1" t="e">
        <f>AND(#REF!,"AAAAAH//f8M=")</f>
        <v>#REF!</v>
      </c>
      <c r="GO1" t="e">
        <f>AND(#REF!,"AAAAAH//f8Q=")</f>
        <v>#REF!</v>
      </c>
      <c r="GP1" t="e">
        <f>AND(#REF!,"AAAAAH//f8U=")</f>
        <v>#REF!</v>
      </c>
      <c r="GQ1" t="e">
        <f>AND(#REF!,"AAAAAH//f8Y=")</f>
        <v>#REF!</v>
      </c>
      <c r="GR1" t="e">
        <f>AND(#REF!,"AAAAAH//f8c=")</f>
        <v>#REF!</v>
      </c>
      <c r="GS1" t="e">
        <f>IF(#REF!,"AAAAAH//f8g=",0)</f>
        <v>#REF!</v>
      </c>
      <c r="GT1" t="e">
        <f>AND(#REF!,"AAAAAH//f8k=")</f>
        <v>#REF!</v>
      </c>
      <c r="GU1" t="e">
        <f>AND(#REF!,"AAAAAH//f8o=")</f>
        <v>#REF!</v>
      </c>
      <c r="GV1" t="e">
        <f>AND(#REF!,"AAAAAH//f8s=")</f>
        <v>#REF!</v>
      </c>
      <c r="GW1" t="e">
        <f>AND(#REF!,"AAAAAH//f8w=")</f>
        <v>#REF!</v>
      </c>
      <c r="GX1" t="e">
        <f>AND(#REF!,"AAAAAH//f80=")</f>
        <v>#REF!</v>
      </c>
      <c r="GY1" t="e">
        <f>AND(#REF!,"AAAAAH//f84=")</f>
        <v>#REF!</v>
      </c>
      <c r="GZ1" t="e">
        <f>AND(#REF!,"AAAAAH//f88=")</f>
        <v>#REF!</v>
      </c>
      <c r="HA1" t="e">
        <f>AND(#REF!,"AAAAAH//f9A=")</f>
        <v>#REF!</v>
      </c>
      <c r="HB1" t="e">
        <f>AND(#REF!,"AAAAAH//f9E=")</f>
        <v>#REF!</v>
      </c>
      <c r="HC1" t="e">
        <f>AND(#REF!,"AAAAAH//f9I=")</f>
        <v>#REF!</v>
      </c>
      <c r="HD1" t="e">
        <f>AND(#REF!,"AAAAAH//f9M=")</f>
        <v>#REF!</v>
      </c>
      <c r="HE1" t="e">
        <f>AND(#REF!,"AAAAAH//f9Q=")</f>
        <v>#REF!</v>
      </c>
      <c r="HF1" t="e">
        <f>AND(#REF!,"AAAAAH//f9U=")</f>
        <v>#REF!</v>
      </c>
      <c r="HG1" t="e">
        <f>AND(#REF!,"AAAAAH//f9Y=")</f>
        <v>#REF!</v>
      </c>
      <c r="HH1" t="e">
        <f>IF(#REF!,"AAAAAH//f9c=",0)</f>
        <v>#REF!</v>
      </c>
      <c r="HI1" t="e">
        <f>AND(#REF!,"AAAAAH//f9g=")</f>
        <v>#REF!</v>
      </c>
      <c r="HJ1" t="e">
        <f>AND(#REF!,"AAAAAH//f9k=")</f>
        <v>#REF!</v>
      </c>
      <c r="HK1" t="e">
        <f>AND(#REF!,"AAAAAH//f9o=")</f>
        <v>#REF!</v>
      </c>
      <c r="HL1" t="e">
        <f>AND(#REF!,"AAAAAH//f9s=")</f>
        <v>#REF!</v>
      </c>
      <c r="HM1" t="e">
        <f>AND(#REF!,"AAAAAH//f9w=")</f>
        <v>#REF!</v>
      </c>
      <c r="HN1" t="e">
        <f>AND(#REF!,"AAAAAH//f90=")</f>
        <v>#REF!</v>
      </c>
      <c r="HO1" t="e">
        <f>AND(#REF!,"AAAAAH//f94=")</f>
        <v>#REF!</v>
      </c>
      <c r="HP1" t="e">
        <f>AND(#REF!,"AAAAAH//f98=")</f>
        <v>#REF!</v>
      </c>
      <c r="HQ1" t="e">
        <f>AND(#REF!,"AAAAAH//f+A=")</f>
        <v>#REF!</v>
      </c>
      <c r="HR1" t="e">
        <f>AND(#REF!,"AAAAAH//f+E=")</f>
        <v>#REF!</v>
      </c>
      <c r="HS1" t="e">
        <f>AND(#REF!,"AAAAAH//f+I=")</f>
        <v>#REF!</v>
      </c>
      <c r="HT1" t="e">
        <f>AND(#REF!,"AAAAAH//f+M=")</f>
        <v>#REF!</v>
      </c>
      <c r="HU1" t="e">
        <f>AND(#REF!,"AAAAAH//f+Q=")</f>
        <v>#REF!</v>
      </c>
      <c r="HV1" t="e">
        <f>AND(#REF!,"AAAAAH//f+U=")</f>
        <v>#REF!</v>
      </c>
      <c r="HW1" t="e">
        <f>IF(#REF!,"AAAAAH//f+Y=",0)</f>
        <v>#REF!</v>
      </c>
      <c r="HX1" t="e">
        <f>AND(#REF!,"AAAAAH//f+c=")</f>
        <v>#REF!</v>
      </c>
      <c r="HY1" t="e">
        <f>AND(#REF!,"AAAAAH//f+g=")</f>
        <v>#REF!</v>
      </c>
      <c r="HZ1" t="e">
        <f>AND(#REF!,"AAAAAH//f+k=")</f>
        <v>#REF!</v>
      </c>
      <c r="IA1" t="e">
        <f>AND(#REF!,"AAAAAH//f+o=")</f>
        <v>#REF!</v>
      </c>
      <c r="IB1" t="e">
        <f>AND(#REF!,"AAAAAH//f+s=")</f>
        <v>#REF!</v>
      </c>
      <c r="IC1" t="e">
        <f>AND(#REF!,"AAAAAH//f+w=")</f>
        <v>#REF!</v>
      </c>
      <c r="ID1" t="e">
        <f>AND(#REF!,"AAAAAH//f+0=")</f>
        <v>#REF!</v>
      </c>
      <c r="IE1" t="e">
        <f>AND(#REF!,"AAAAAH//f+4=")</f>
        <v>#REF!</v>
      </c>
      <c r="IF1" t="e">
        <f>AND(#REF!,"AAAAAH//f+8=")</f>
        <v>#REF!</v>
      </c>
      <c r="IG1" t="e">
        <f>AND(#REF!,"AAAAAH//f/A=")</f>
        <v>#REF!</v>
      </c>
      <c r="IH1" t="e">
        <f>AND(#REF!,"AAAAAH//f/E=")</f>
        <v>#REF!</v>
      </c>
      <c r="II1" t="e">
        <f>AND(#REF!,"AAAAAH//f/I=")</f>
        <v>#REF!</v>
      </c>
      <c r="IJ1" t="e">
        <f>AND(#REF!,"AAAAAH//f/M=")</f>
        <v>#REF!</v>
      </c>
      <c r="IK1" t="e">
        <f>AND(#REF!,"AAAAAH//f/Q=")</f>
        <v>#REF!</v>
      </c>
      <c r="IL1" t="e">
        <f>IF(#REF!,"AAAAAH//f/U=",0)</f>
        <v>#REF!</v>
      </c>
      <c r="IM1" t="e">
        <f>AND(#REF!,"AAAAAH//f/Y=")</f>
        <v>#REF!</v>
      </c>
      <c r="IN1" t="e">
        <f>AND(#REF!,"AAAAAH//f/c=")</f>
        <v>#REF!</v>
      </c>
      <c r="IO1" t="e">
        <f>AND(#REF!,"AAAAAH//f/g=")</f>
        <v>#REF!</v>
      </c>
      <c r="IP1" t="e">
        <f>AND(#REF!,"AAAAAH//f/k=")</f>
        <v>#REF!</v>
      </c>
      <c r="IQ1" t="e">
        <f>AND(#REF!,"AAAAAH//f/o=")</f>
        <v>#REF!</v>
      </c>
      <c r="IR1" t="e">
        <f>AND(#REF!,"AAAAAH//f/s=")</f>
        <v>#REF!</v>
      </c>
      <c r="IS1" t="e">
        <f>AND(#REF!,"AAAAAH//f/w=")</f>
        <v>#REF!</v>
      </c>
      <c r="IT1" t="e">
        <f>AND(#REF!,"AAAAAH//f/0=")</f>
        <v>#REF!</v>
      </c>
      <c r="IU1" t="e">
        <f>AND(#REF!,"AAAAAH//f/4=")</f>
        <v>#REF!</v>
      </c>
      <c r="IV1" t="e">
        <f>AND(#REF!,"AAAAAH//f/8=")</f>
        <v>#REF!</v>
      </c>
    </row>
    <row r="2" spans="1:256" x14ac:dyDescent="0.25">
      <c r="A2" t="e">
        <f>AND(#REF!,"AAAAAD97vgA=")</f>
        <v>#REF!</v>
      </c>
      <c r="B2" t="e">
        <f>AND(#REF!,"AAAAAD97vgE=")</f>
        <v>#REF!</v>
      </c>
      <c r="C2" t="e">
        <f>AND(#REF!,"AAAAAD97vgI=")</f>
        <v>#REF!</v>
      </c>
      <c r="D2" t="e">
        <f>AND(#REF!,"AAAAAD97vgM=")</f>
        <v>#REF!</v>
      </c>
      <c r="E2" t="e">
        <f>IF(#REF!,"AAAAAD97vgQ=",0)</f>
        <v>#REF!</v>
      </c>
      <c r="F2" t="e">
        <f>AND(#REF!,"AAAAAD97vgU=")</f>
        <v>#REF!</v>
      </c>
      <c r="G2" t="e">
        <f>AND(#REF!,"AAAAAD97vgY=")</f>
        <v>#REF!</v>
      </c>
      <c r="H2" t="e">
        <f>AND(#REF!,"AAAAAD97vgc=")</f>
        <v>#REF!</v>
      </c>
      <c r="I2" t="e">
        <f>AND(#REF!,"AAAAAD97vgg=")</f>
        <v>#REF!</v>
      </c>
      <c r="J2" t="e">
        <f>AND(#REF!,"AAAAAD97vgk=")</f>
        <v>#REF!</v>
      </c>
      <c r="K2" t="e">
        <f>AND(#REF!,"AAAAAD97vgo=")</f>
        <v>#REF!</v>
      </c>
      <c r="L2" t="e">
        <f>AND(#REF!,"AAAAAD97vgs=")</f>
        <v>#REF!</v>
      </c>
      <c r="M2" t="e">
        <f>AND(#REF!,"AAAAAD97vgw=")</f>
        <v>#REF!</v>
      </c>
      <c r="N2" t="e">
        <f>AND(#REF!,"AAAAAD97vg0=")</f>
        <v>#REF!</v>
      </c>
      <c r="O2" t="e">
        <f>AND(#REF!,"AAAAAD97vg4=")</f>
        <v>#REF!</v>
      </c>
      <c r="P2" t="e">
        <f>AND(#REF!,"AAAAAD97vg8=")</f>
        <v>#REF!</v>
      </c>
      <c r="Q2" t="e">
        <f>AND(#REF!,"AAAAAD97vhA=")</f>
        <v>#REF!</v>
      </c>
      <c r="R2" t="e">
        <f>AND(#REF!,"AAAAAD97vhE=")</f>
        <v>#REF!</v>
      </c>
      <c r="S2" t="e">
        <f>AND(#REF!,"AAAAAD97vhI=")</f>
        <v>#REF!</v>
      </c>
      <c r="T2" t="e">
        <f>IF(#REF!,"AAAAAD97vhM=",0)</f>
        <v>#REF!</v>
      </c>
      <c r="U2" t="e">
        <f>AND(#REF!,"AAAAAD97vhQ=")</f>
        <v>#REF!</v>
      </c>
      <c r="V2" t="e">
        <f>AND(#REF!,"AAAAAD97vhU=")</f>
        <v>#REF!</v>
      </c>
      <c r="W2" t="e">
        <f>AND(#REF!,"AAAAAD97vhY=")</f>
        <v>#REF!</v>
      </c>
      <c r="X2" t="e">
        <f>AND(#REF!,"AAAAAD97vhc=")</f>
        <v>#REF!</v>
      </c>
      <c r="Y2" t="e">
        <f>AND(#REF!,"AAAAAD97vhg=")</f>
        <v>#REF!</v>
      </c>
      <c r="Z2" t="e">
        <f>AND(#REF!,"AAAAAD97vhk=")</f>
        <v>#REF!</v>
      </c>
      <c r="AA2" t="e">
        <f>AND(#REF!,"AAAAAD97vho=")</f>
        <v>#REF!</v>
      </c>
      <c r="AB2" t="e">
        <f>AND(#REF!,"AAAAAD97vhs=")</f>
        <v>#REF!</v>
      </c>
      <c r="AC2" t="e">
        <f>AND(#REF!,"AAAAAD97vhw=")</f>
        <v>#REF!</v>
      </c>
      <c r="AD2" t="e">
        <f>AND(#REF!,"AAAAAD97vh0=")</f>
        <v>#REF!</v>
      </c>
      <c r="AE2" t="e">
        <f>AND(#REF!,"AAAAAD97vh4=")</f>
        <v>#REF!</v>
      </c>
      <c r="AF2" t="e">
        <f>AND(#REF!,"AAAAAD97vh8=")</f>
        <v>#REF!</v>
      </c>
      <c r="AG2" t="e">
        <f>AND(#REF!,"AAAAAD97viA=")</f>
        <v>#REF!</v>
      </c>
      <c r="AH2" t="e">
        <f>AND(#REF!,"AAAAAD97viE=")</f>
        <v>#REF!</v>
      </c>
      <c r="AI2" t="e">
        <f>IF(#REF!,"AAAAAD97viI=",0)</f>
        <v>#REF!</v>
      </c>
      <c r="AJ2" t="e">
        <f>AND(#REF!,"AAAAAD97viM=")</f>
        <v>#REF!</v>
      </c>
      <c r="AK2" t="e">
        <f>AND(#REF!,"AAAAAD97viQ=")</f>
        <v>#REF!</v>
      </c>
      <c r="AL2" t="e">
        <f>AND(#REF!,"AAAAAD97viU=")</f>
        <v>#REF!</v>
      </c>
      <c r="AM2" t="e">
        <f>AND(#REF!,"AAAAAD97viY=")</f>
        <v>#REF!</v>
      </c>
      <c r="AN2" t="e">
        <f>AND(#REF!,"AAAAAD97vic=")</f>
        <v>#REF!</v>
      </c>
      <c r="AO2" t="e">
        <f>AND(#REF!,"AAAAAD97vig=")</f>
        <v>#REF!</v>
      </c>
      <c r="AP2" t="e">
        <f>AND(#REF!,"AAAAAD97vik=")</f>
        <v>#REF!</v>
      </c>
      <c r="AQ2" t="e">
        <f>AND(#REF!,"AAAAAD97vio=")</f>
        <v>#REF!</v>
      </c>
      <c r="AR2" t="e">
        <f>AND(#REF!,"AAAAAD97vis=")</f>
        <v>#REF!</v>
      </c>
      <c r="AS2" t="e">
        <f>AND(#REF!,"AAAAAD97viw=")</f>
        <v>#REF!</v>
      </c>
      <c r="AT2" t="e">
        <f>AND(#REF!,"AAAAAD97vi0=")</f>
        <v>#REF!</v>
      </c>
      <c r="AU2" t="e">
        <f>AND(#REF!,"AAAAAD97vi4=")</f>
        <v>#REF!</v>
      </c>
      <c r="AV2" t="e">
        <f>AND(#REF!,"AAAAAD97vi8=")</f>
        <v>#REF!</v>
      </c>
      <c r="AW2" t="e">
        <f>AND(#REF!,"AAAAAD97vjA=")</f>
        <v>#REF!</v>
      </c>
      <c r="AX2" t="e">
        <f>IF(#REF!,"AAAAAD97vjE=",0)</f>
        <v>#REF!</v>
      </c>
      <c r="AY2" t="e">
        <f>AND(#REF!,"AAAAAD97vjI=")</f>
        <v>#REF!</v>
      </c>
      <c r="AZ2" t="e">
        <f>AND(#REF!,"AAAAAD97vjM=")</f>
        <v>#REF!</v>
      </c>
      <c r="BA2" t="e">
        <f>AND(#REF!,"AAAAAD97vjQ=")</f>
        <v>#REF!</v>
      </c>
      <c r="BB2" t="e">
        <f>AND(#REF!,"AAAAAD97vjU=")</f>
        <v>#REF!</v>
      </c>
      <c r="BC2" t="e">
        <f>AND(#REF!,"AAAAAD97vjY=")</f>
        <v>#REF!</v>
      </c>
      <c r="BD2" t="e">
        <f>AND(#REF!,"AAAAAD97vjc=")</f>
        <v>#REF!</v>
      </c>
      <c r="BE2" t="e">
        <f>AND(#REF!,"AAAAAD97vjg=")</f>
        <v>#REF!</v>
      </c>
      <c r="BF2" t="e">
        <f>AND(#REF!,"AAAAAD97vjk=")</f>
        <v>#REF!</v>
      </c>
      <c r="BG2" t="e">
        <f>AND(#REF!,"AAAAAD97vjo=")</f>
        <v>#REF!</v>
      </c>
      <c r="BH2" t="e">
        <f>AND(#REF!,"AAAAAD97vjs=")</f>
        <v>#REF!</v>
      </c>
      <c r="BI2" t="e">
        <f>AND(#REF!,"AAAAAD97vjw=")</f>
        <v>#REF!</v>
      </c>
      <c r="BJ2" t="e">
        <f>AND(#REF!,"AAAAAD97vj0=")</f>
        <v>#REF!</v>
      </c>
      <c r="BK2" t="e">
        <f>AND(#REF!,"AAAAAD97vj4=")</f>
        <v>#REF!</v>
      </c>
      <c r="BL2" t="e">
        <f>AND(#REF!,"AAAAAD97vj8=")</f>
        <v>#REF!</v>
      </c>
      <c r="BM2" t="e">
        <f>IF(#REF!,"AAAAAD97vkA=",0)</f>
        <v>#REF!</v>
      </c>
      <c r="BN2" t="e">
        <f>AND(#REF!,"AAAAAD97vkE=")</f>
        <v>#REF!</v>
      </c>
      <c r="BO2" t="e">
        <f>AND(#REF!,"AAAAAD97vkI=")</f>
        <v>#REF!</v>
      </c>
      <c r="BP2" t="e">
        <f>AND(#REF!,"AAAAAD97vkM=")</f>
        <v>#REF!</v>
      </c>
      <c r="BQ2" t="e">
        <f>AND(#REF!,"AAAAAD97vkQ=")</f>
        <v>#REF!</v>
      </c>
      <c r="BR2" t="e">
        <f>AND(#REF!,"AAAAAD97vkU=")</f>
        <v>#REF!</v>
      </c>
      <c r="BS2" t="e">
        <f>AND(#REF!,"AAAAAD97vkY=")</f>
        <v>#REF!</v>
      </c>
      <c r="BT2" t="e">
        <f>AND(#REF!,"AAAAAD97vkc=")</f>
        <v>#REF!</v>
      </c>
      <c r="BU2" t="e">
        <f>AND(#REF!,"AAAAAD97vkg=")</f>
        <v>#REF!</v>
      </c>
      <c r="BV2" t="e">
        <f>AND(#REF!,"AAAAAD97vkk=")</f>
        <v>#REF!</v>
      </c>
      <c r="BW2" t="e">
        <f>AND(#REF!,"AAAAAD97vko=")</f>
        <v>#REF!</v>
      </c>
      <c r="BX2" t="e">
        <f>AND(#REF!,"AAAAAD97vks=")</f>
        <v>#REF!</v>
      </c>
      <c r="BY2" t="e">
        <f>AND(#REF!,"AAAAAD97vkw=")</f>
        <v>#REF!</v>
      </c>
      <c r="BZ2" t="e">
        <f>AND(#REF!,"AAAAAD97vk0=")</f>
        <v>#REF!</v>
      </c>
      <c r="CA2" t="e">
        <f>AND(#REF!,"AAAAAD97vk4=")</f>
        <v>#REF!</v>
      </c>
      <c r="CB2" t="e">
        <f>IF(#REF!,"AAAAAD97vk8=",0)</f>
        <v>#REF!</v>
      </c>
      <c r="CC2" t="e">
        <f>AND(#REF!,"AAAAAD97vlA=")</f>
        <v>#REF!</v>
      </c>
      <c r="CD2" t="e">
        <f>AND(#REF!,"AAAAAD97vlE=")</f>
        <v>#REF!</v>
      </c>
      <c r="CE2" t="e">
        <f>AND(#REF!,"AAAAAD97vlI=")</f>
        <v>#REF!</v>
      </c>
      <c r="CF2" t="e">
        <f>AND(#REF!,"AAAAAD97vlM=")</f>
        <v>#REF!</v>
      </c>
      <c r="CG2" t="e">
        <f>AND(#REF!,"AAAAAD97vlQ=")</f>
        <v>#REF!</v>
      </c>
      <c r="CH2" t="e">
        <f>AND(#REF!,"AAAAAD97vlU=")</f>
        <v>#REF!</v>
      </c>
      <c r="CI2" t="e">
        <f>AND(#REF!,"AAAAAD97vlY=")</f>
        <v>#REF!</v>
      </c>
      <c r="CJ2" t="e">
        <f>AND(#REF!,"AAAAAD97vlc=")</f>
        <v>#REF!</v>
      </c>
      <c r="CK2" t="e">
        <f>AND(#REF!,"AAAAAD97vlg=")</f>
        <v>#REF!</v>
      </c>
      <c r="CL2" t="e">
        <f>AND(#REF!,"AAAAAD97vlk=")</f>
        <v>#REF!</v>
      </c>
      <c r="CM2" t="e">
        <f>AND(#REF!,"AAAAAD97vlo=")</f>
        <v>#REF!</v>
      </c>
      <c r="CN2" t="e">
        <f>AND(#REF!,"AAAAAD97vls=")</f>
        <v>#REF!</v>
      </c>
      <c r="CO2" t="e">
        <f>AND(#REF!,"AAAAAD97vlw=")</f>
        <v>#REF!</v>
      </c>
      <c r="CP2" t="e">
        <f>AND(#REF!,"AAAAAD97vl0=")</f>
        <v>#REF!</v>
      </c>
      <c r="CQ2" t="e">
        <f>IF(#REF!,"AAAAAD97vl4=",0)</f>
        <v>#REF!</v>
      </c>
      <c r="CR2" t="e">
        <f>AND(#REF!,"AAAAAD97vl8=")</f>
        <v>#REF!</v>
      </c>
      <c r="CS2" t="e">
        <f>AND(#REF!,"AAAAAD97vmA=")</f>
        <v>#REF!</v>
      </c>
      <c r="CT2" t="e">
        <f>AND(#REF!,"AAAAAD97vmE=")</f>
        <v>#REF!</v>
      </c>
      <c r="CU2" t="e">
        <f>AND(#REF!,"AAAAAD97vmI=")</f>
        <v>#REF!</v>
      </c>
      <c r="CV2" t="e">
        <f>AND(#REF!,"AAAAAD97vmM=")</f>
        <v>#REF!</v>
      </c>
      <c r="CW2" t="e">
        <f>AND(#REF!,"AAAAAD97vmQ=")</f>
        <v>#REF!</v>
      </c>
      <c r="CX2" t="e">
        <f>AND(#REF!,"AAAAAD97vmU=")</f>
        <v>#REF!</v>
      </c>
      <c r="CY2" t="e">
        <f>AND(#REF!,"AAAAAD97vmY=")</f>
        <v>#REF!</v>
      </c>
      <c r="CZ2" t="e">
        <f>AND(#REF!,"AAAAAD97vmc=")</f>
        <v>#REF!</v>
      </c>
      <c r="DA2" t="e">
        <f>AND(#REF!,"AAAAAD97vmg=")</f>
        <v>#REF!</v>
      </c>
      <c r="DB2" t="e">
        <f>AND(#REF!,"AAAAAD97vmk=")</f>
        <v>#REF!</v>
      </c>
      <c r="DC2" t="e">
        <f>AND(#REF!,"AAAAAD97vmo=")</f>
        <v>#REF!</v>
      </c>
      <c r="DD2" t="e">
        <f>AND(#REF!,"AAAAAD97vms=")</f>
        <v>#REF!</v>
      </c>
      <c r="DE2" t="e">
        <f>AND(#REF!,"AAAAAD97vmw=")</f>
        <v>#REF!</v>
      </c>
      <c r="DF2" t="e">
        <f>IF(#REF!,"AAAAAD97vm0=",0)</f>
        <v>#REF!</v>
      </c>
      <c r="DG2" t="e">
        <f>AND(#REF!,"AAAAAD97vm4=")</f>
        <v>#REF!</v>
      </c>
      <c r="DH2" t="e">
        <f>AND(#REF!,"AAAAAD97vm8=")</f>
        <v>#REF!</v>
      </c>
      <c r="DI2" t="e">
        <f>AND(#REF!,"AAAAAD97vnA=")</f>
        <v>#REF!</v>
      </c>
      <c r="DJ2" t="e">
        <f>AND(#REF!,"AAAAAD97vnE=")</f>
        <v>#REF!</v>
      </c>
      <c r="DK2" t="e">
        <f>AND(#REF!,"AAAAAD97vnI=")</f>
        <v>#REF!</v>
      </c>
      <c r="DL2" t="e">
        <f>AND(#REF!,"AAAAAD97vnM=")</f>
        <v>#REF!</v>
      </c>
      <c r="DM2" t="e">
        <f>AND(#REF!,"AAAAAD97vnQ=")</f>
        <v>#REF!</v>
      </c>
      <c r="DN2" t="e">
        <f>AND(#REF!,"AAAAAD97vnU=")</f>
        <v>#REF!</v>
      </c>
      <c r="DO2" t="e">
        <f>AND(#REF!,"AAAAAD97vnY=")</f>
        <v>#REF!</v>
      </c>
      <c r="DP2" t="e">
        <f>AND(#REF!,"AAAAAD97vnc=")</f>
        <v>#REF!</v>
      </c>
      <c r="DQ2" t="e">
        <f>AND(#REF!,"AAAAAD97vng=")</f>
        <v>#REF!</v>
      </c>
      <c r="DR2" t="e">
        <f>AND(#REF!,"AAAAAD97vnk=")</f>
        <v>#REF!</v>
      </c>
      <c r="DS2" t="e">
        <f>AND(#REF!,"AAAAAD97vno=")</f>
        <v>#REF!</v>
      </c>
      <c r="DT2" t="e">
        <f>AND(#REF!,"AAAAAD97vns=")</f>
        <v>#REF!</v>
      </c>
      <c r="DU2" t="e">
        <f>IF(#REF!,"AAAAAD97vnw=",0)</f>
        <v>#REF!</v>
      </c>
      <c r="DV2" t="e">
        <f>AND(#REF!,"AAAAAD97vn0=")</f>
        <v>#REF!</v>
      </c>
      <c r="DW2" t="e">
        <f>AND(#REF!,"AAAAAD97vn4=")</f>
        <v>#REF!</v>
      </c>
      <c r="DX2" t="e">
        <f>AND(#REF!,"AAAAAD97vn8=")</f>
        <v>#REF!</v>
      </c>
      <c r="DY2" t="e">
        <f>AND(#REF!,"AAAAAD97voA=")</f>
        <v>#REF!</v>
      </c>
      <c r="DZ2" t="e">
        <f>AND(#REF!,"AAAAAD97voE=")</f>
        <v>#REF!</v>
      </c>
      <c r="EA2" t="e">
        <f>AND(#REF!,"AAAAAD97voI=")</f>
        <v>#REF!</v>
      </c>
      <c r="EB2" t="e">
        <f>AND(#REF!,"AAAAAD97voM=")</f>
        <v>#REF!</v>
      </c>
      <c r="EC2" t="e">
        <f>AND(#REF!,"AAAAAD97voQ=")</f>
        <v>#REF!</v>
      </c>
      <c r="ED2" t="e">
        <f>AND(#REF!,"AAAAAD97voU=")</f>
        <v>#REF!</v>
      </c>
      <c r="EE2" t="e">
        <f>AND(#REF!,"AAAAAD97voY=")</f>
        <v>#REF!</v>
      </c>
      <c r="EF2" t="e">
        <f>AND(#REF!,"AAAAAD97voc=")</f>
        <v>#REF!</v>
      </c>
      <c r="EG2" t="e">
        <f>AND(#REF!,"AAAAAD97vog=")</f>
        <v>#REF!</v>
      </c>
      <c r="EH2" t="e">
        <f>AND(#REF!,"AAAAAD97vok=")</f>
        <v>#REF!</v>
      </c>
      <c r="EI2" t="e">
        <f>AND(#REF!,"AAAAAD97voo=")</f>
        <v>#REF!</v>
      </c>
      <c r="EJ2" t="e">
        <f>IF(#REF!,"AAAAAD97vos=",0)</f>
        <v>#REF!</v>
      </c>
      <c r="EK2" t="e">
        <f>AND(#REF!,"AAAAAD97vow=")</f>
        <v>#REF!</v>
      </c>
      <c r="EL2" t="e">
        <f>AND(#REF!,"AAAAAD97vo0=")</f>
        <v>#REF!</v>
      </c>
      <c r="EM2" t="e">
        <f>AND(#REF!,"AAAAAD97vo4=")</f>
        <v>#REF!</v>
      </c>
      <c r="EN2" t="e">
        <f>AND(#REF!,"AAAAAD97vo8=")</f>
        <v>#REF!</v>
      </c>
      <c r="EO2" t="e">
        <f>AND(#REF!,"AAAAAD97vpA=")</f>
        <v>#REF!</v>
      </c>
      <c r="EP2" t="e">
        <f>AND(#REF!,"AAAAAD97vpE=")</f>
        <v>#REF!</v>
      </c>
      <c r="EQ2" t="e">
        <f>AND(#REF!,"AAAAAD97vpI=")</f>
        <v>#REF!</v>
      </c>
      <c r="ER2" t="e">
        <f>AND(#REF!,"AAAAAD97vpM=")</f>
        <v>#REF!</v>
      </c>
      <c r="ES2" t="e">
        <f>AND(#REF!,"AAAAAD97vpQ=")</f>
        <v>#REF!</v>
      </c>
      <c r="ET2" t="e">
        <f>AND(#REF!,"AAAAAD97vpU=")</f>
        <v>#REF!</v>
      </c>
      <c r="EU2" t="e">
        <f>AND(#REF!,"AAAAAD97vpY=")</f>
        <v>#REF!</v>
      </c>
      <c r="EV2" t="e">
        <f>AND(#REF!,"AAAAAD97vpc=")</f>
        <v>#REF!</v>
      </c>
      <c r="EW2" t="e">
        <f>AND(#REF!,"AAAAAD97vpg=")</f>
        <v>#REF!</v>
      </c>
      <c r="EX2" t="e">
        <f>AND(#REF!,"AAAAAD97vpk=")</f>
        <v>#REF!</v>
      </c>
      <c r="EY2" t="e">
        <f>IF(#REF!,"AAAAAD97vpo=",0)</f>
        <v>#REF!</v>
      </c>
      <c r="EZ2" t="e">
        <f>AND(#REF!,"AAAAAD97vps=")</f>
        <v>#REF!</v>
      </c>
      <c r="FA2" t="e">
        <f>AND(#REF!,"AAAAAD97vpw=")</f>
        <v>#REF!</v>
      </c>
      <c r="FB2" t="e">
        <f>AND(#REF!,"AAAAAD97vp0=")</f>
        <v>#REF!</v>
      </c>
      <c r="FC2" t="e">
        <f>AND(#REF!,"AAAAAD97vp4=")</f>
        <v>#REF!</v>
      </c>
      <c r="FD2" t="e">
        <f>AND(#REF!,"AAAAAD97vp8=")</f>
        <v>#REF!</v>
      </c>
      <c r="FE2" t="e">
        <f>AND(#REF!,"AAAAAD97vqA=")</f>
        <v>#REF!</v>
      </c>
      <c r="FF2" t="e">
        <f>AND(#REF!,"AAAAAD97vqE=")</f>
        <v>#REF!</v>
      </c>
      <c r="FG2" t="e">
        <f>AND(#REF!,"AAAAAD97vqI=")</f>
        <v>#REF!</v>
      </c>
      <c r="FH2" t="e">
        <f>AND(#REF!,"AAAAAD97vqM=")</f>
        <v>#REF!</v>
      </c>
      <c r="FI2" t="e">
        <f>AND(#REF!,"AAAAAD97vqQ=")</f>
        <v>#REF!</v>
      </c>
      <c r="FJ2" t="e">
        <f>AND(#REF!,"AAAAAD97vqU=")</f>
        <v>#REF!</v>
      </c>
      <c r="FK2" t="e">
        <f>AND(#REF!,"AAAAAD97vqY=")</f>
        <v>#REF!</v>
      </c>
      <c r="FL2" t="e">
        <f>AND(#REF!,"AAAAAD97vqc=")</f>
        <v>#REF!</v>
      </c>
      <c r="FM2" t="e">
        <f>AND(#REF!,"AAAAAD97vqg=")</f>
        <v>#REF!</v>
      </c>
      <c r="FN2" t="e">
        <f>IF(#REF!,"AAAAAD97vqk=",0)</f>
        <v>#REF!</v>
      </c>
      <c r="FO2" t="e">
        <f>AND(#REF!,"AAAAAD97vqo=")</f>
        <v>#REF!</v>
      </c>
      <c r="FP2" t="e">
        <f>AND(#REF!,"AAAAAD97vqs=")</f>
        <v>#REF!</v>
      </c>
      <c r="FQ2" t="e">
        <f>AND(#REF!,"AAAAAD97vqw=")</f>
        <v>#REF!</v>
      </c>
      <c r="FR2" t="e">
        <f>AND(#REF!,"AAAAAD97vq0=")</f>
        <v>#REF!</v>
      </c>
      <c r="FS2" t="e">
        <f>AND(#REF!,"AAAAAD97vq4=")</f>
        <v>#REF!</v>
      </c>
      <c r="FT2" t="e">
        <f>AND(#REF!,"AAAAAD97vq8=")</f>
        <v>#REF!</v>
      </c>
      <c r="FU2" t="e">
        <f>AND(#REF!,"AAAAAD97vrA=")</f>
        <v>#REF!</v>
      </c>
      <c r="FV2" t="e">
        <f>AND(#REF!,"AAAAAD97vrE=")</f>
        <v>#REF!</v>
      </c>
      <c r="FW2" t="e">
        <f>AND(#REF!,"AAAAAD97vrI=")</f>
        <v>#REF!</v>
      </c>
      <c r="FX2" t="e">
        <f>AND(#REF!,"AAAAAD97vrM=")</f>
        <v>#REF!</v>
      </c>
      <c r="FY2" t="e">
        <f>AND(#REF!,"AAAAAD97vrQ=")</f>
        <v>#REF!</v>
      </c>
      <c r="FZ2" t="e">
        <f>AND(#REF!,"AAAAAD97vrU=")</f>
        <v>#REF!</v>
      </c>
      <c r="GA2" t="e">
        <f>AND(#REF!,"AAAAAD97vrY=")</f>
        <v>#REF!</v>
      </c>
      <c r="GB2" t="e">
        <f>AND(#REF!,"AAAAAD97vrc=")</f>
        <v>#REF!</v>
      </c>
      <c r="GC2" t="e">
        <f>IF(#REF!,"AAAAAD97vrg=",0)</f>
        <v>#REF!</v>
      </c>
      <c r="GD2" t="e">
        <f>AND(#REF!,"AAAAAD97vrk=")</f>
        <v>#REF!</v>
      </c>
      <c r="GE2" t="e">
        <f>AND(#REF!,"AAAAAD97vro=")</f>
        <v>#REF!</v>
      </c>
      <c r="GF2" t="e">
        <f>AND(#REF!,"AAAAAD97vrs=")</f>
        <v>#REF!</v>
      </c>
      <c r="GG2" t="e">
        <f>AND(#REF!,"AAAAAD97vrw=")</f>
        <v>#REF!</v>
      </c>
      <c r="GH2" t="e">
        <f>AND(#REF!,"AAAAAD97vr0=")</f>
        <v>#REF!</v>
      </c>
      <c r="GI2" t="e">
        <f>AND(#REF!,"AAAAAD97vr4=")</f>
        <v>#REF!</v>
      </c>
      <c r="GJ2" t="e">
        <f>AND(#REF!,"AAAAAD97vr8=")</f>
        <v>#REF!</v>
      </c>
      <c r="GK2" t="e">
        <f>AND(#REF!,"AAAAAD97vsA=")</f>
        <v>#REF!</v>
      </c>
      <c r="GL2" t="e">
        <f>AND(#REF!,"AAAAAD97vsE=")</f>
        <v>#REF!</v>
      </c>
      <c r="GM2" t="e">
        <f>AND(#REF!,"AAAAAD97vsI=")</f>
        <v>#REF!</v>
      </c>
      <c r="GN2" t="e">
        <f>AND(#REF!,"AAAAAD97vsM=")</f>
        <v>#REF!</v>
      </c>
      <c r="GO2" t="e">
        <f>AND(#REF!,"AAAAAD97vsQ=")</f>
        <v>#REF!</v>
      </c>
      <c r="GP2" t="e">
        <f>AND(#REF!,"AAAAAD97vsU=")</f>
        <v>#REF!</v>
      </c>
      <c r="GQ2" t="e">
        <f>AND(#REF!,"AAAAAD97vsY=")</f>
        <v>#REF!</v>
      </c>
      <c r="GR2" t="e">
        <f>IF(#REF!,"AAAAAD97vsc=",0)</f>
        <v>#REF!</v>
      </c>
      <c r="GS2" t="e">
        <f>AND(#REF!,"AAAAAD97vsg=")</f>
        <v>#REF!</v>
      </c>
      <c r="GT2" t="e">
        <f>AND(#REF!,"AAAAAD97vsk=")</f>
        <v>#REF!</v>
      </c>
      <c r="GU2" t="e">
        <f>AND(#REF!,"AAAAAD97vso=")</f>
        <v>#REF!</v>
      </c>
      <c r="GV2" t="e">
        <f>AND(#REF!,"AAAAAD97vss=")</f>
        <v>#REF!</v>
      </c>
      <c r="GW2" t="e">
        <f>AND(#REF!,"AAAAAD97vsw=")</f>
        <v>#REF!</v>
      </c>
      <c r="GX2" t="e">
        <f>AND(#REF!,"AAAAAD97vs0=")</f>
        <v>#REF!</v>
      </c>
      <c r="GY2" t="e">
        <f>AND(#REF!,"AAAAAD97vs4=")</f>
        <v>#REF!</v>
      </c>
      <c r="GZ2" t="e">
        <f>AND(#REF!,"AAAAAD97vs8=")</f>
        <v>#REF!</v>
      </c>
      <c r="HA2" t="e">
        <f>AND(#REF!,"AAAAAD97vtA=")</f>
        <v>#REF!</v>
      </c>
      <c r="HB2" t="e">
        <f>AND(#REF!,"AAAAAD97vtE=")</f>
        <v>#REF!</v>
      </c>
      <c r="HC2" t="e">
        <f>AND(#REF!,"AAAAAD97vtI=")</f>
        <v>#REF!</v>
      </c>
      <c r="HD2" t="e">
        <f>AND(#REF!,"AAAAAD97vtM=")</f>
        <v>#REF!</v>
      </c>
      <c r="HE2" t="e">
        <f>AND(#REF!,"AAAAAD97vtQ=")</f>
        <v>#REF!</v>
      </c>
      <c r="HF2" t="e">
        <f>AND(#REF!,"AAAAAD97vtU=")</f>
        <v>#REF!</v>
      </c>
      <c r="HG2" t="e">
        <f>IF(#REF!,"AAAAAD97vtY=",0)</f>
        <v>#REF!</v>
      </c>
      <c r="HH2" t="e">
        <f>AND(#REF!,"AAAAAD97vtc=")</f>
        <v>#REF!</v>
      </c>
      <c r="HI2" t="e">
        <f>AND(#REF!,"AAAAAD97vtg=")</f>
        <v>#REF!</v>
      </c>
      <c r="HJ2" t="e">
        <f>AND(#REF!,"AAAAAD97vtk=")</f>
        <v>#REF!</v>
      </c>
      <c r="HK2" t="e">
        <f>AND(#REF!,"AAAAAD97vto=")</f>
        <v>#REF!</v>
      </c>
      <c r="HL2" t="e">
        <f>AND(#REF!,"AAAAAD97vts=")</f>
        <v>#REF!</v>
      </c>
      <c r="HM2" t="e">
        <f>AND(#REF!,"AAAAAD97vtw=")</f>
        <v>#REF!</v>
      </c>
      <c r="HN2" t="e">
        <f>AND(#REF!,"AAAAAD97vt0=")</f>
        <v>#REF!</v>
      </c>
      <c r="HO2" t="e">
        <f>AND(#REF!,"AAAAAD97vt4=")</f>
        <v>#REF!</v>
      </c>
      <c r="HP2" t="e">
        <f>AND(#REF!,"AAAAAD97vt8=")</f>
        <v>#REF!</v>
      </c>
      <c r="HQ2" t="e">
        <f>AND(#REF!,"AAAAAD97vuA=")</f>
        <v>#REF!</v>
      </c>
      <c r="HR2" t="e">
        <f>AND(#REF!,"AAAAAD97vuE=")</f>
        <v>#REF!</v>
      </c>
      <c r="HS2" t="e">
        <f>AND(#REF!,"AAAAAD97vuI=")</f>
        <v>#REF!</v>
      </c>
      <c r="HT2" t="e">
        <f>AND(#REF!,"AAAAAD97vuM=")</f>
        <v>#REF!</v>
      </c>
      <c r="HU2" t="e">
        <f>AND(#REF!,"AAAAAD97vuQ=")</f>
        <v>#REF!</v>
      </c>
      <c r="HV2" t="e">
        <f>IF(#REF!,"AAAAAD97vuU=",0)</f>
        <v>#REF!</v>
      </c>
      <c r="HW2" t="e">
        <f>AND(#REF!,"AAAAAD97vuY=")</f>
        <v>#REF!</v>
      </c>
      <c r="HX2" t="e">
        <f>AND(#REF!,"AAAAAD97vuc=")</f>
        <v>#REF!</v>
      </c>
      <c r="HY2" t="e">
        <f>AND(#REF!,"AAAAAD97vug=")</f>
        <v>#REF!</v>
      </c>
      <c r="HZ2" t="e">
        <f>AND(#REF!,"AAAAAD97vuk=")</f>
        <v>#REF!</v>
      </c>
      <c r="IA2" t="e">
        <f>AND(#REF!,"AAAAAD97vuo=")</f>
        <v>#REF!</v>
      </c>
      <c r="IB2" t="e">
        <f>AND(#REF!,"AAAAAD97vus=")</f>
        <v>#REF!</v>
      </c>
      <c r="IC2" t="e">
        <f>AND(#REF!,"AAAAAD97vuw=")</f>
        <v>#REF!</v>
      </c>
      <c r="ID2" t="e">
        <f>AND(#REF!,"AAAAAD97vu0=")</f>
        <v>#REF!</v>
      </c>
      <c r="IE2" t="e">
        <f>AND(#REF!,"AAAAAD97vu4=")</f>
        <v>#REF!</v>
      </c>
      <c r="IF2" t="e">
        <f>AND(#REF!,"AAAAAD97vu8=")</f>
        <v>#REF!</v>
      </c>
      <c r="IG2" t="e">
        <f>AND(#REF!,"AAAAAD97vvA=")</f>
        <v>#REF!</v>
      </c>
      <c r="IH2" t="e">
        <f>AND(#REF!,"AAAAAD97vvE=")</f>
        <v>#REF!</v>
      </c>
      <c r="II2" t="e">
        <f>AND(#REF!,"AAAAAD97vvI=")</f>
        <v>#REF!</v>
      </c>
      <c r="IJ2" t="e">
        <f>AND(#REF!,"AAAAAD97vvM=")</f>
        <v>#REF!</v>
      </c>
      <c r="IK2" t="e">
        <f>IF(#REF!,"AAAAAD97vvQ=",0)</f>
        <v>#REF!</v>
      </c>
      <c r="IL2" t="e">
        <f>AND(#REF!,"AAAAAD97vvU=")</f>
        <v>#REF!</v>
      </c>
      <c r="IM2" t="e">
        <f>AND(#REF!,"AAAAAD97vvY=")</f>
        <v>#REF!</v>
      </c>
      <c r="IN2" t="e">
        <f>AND(#REF!,"AAAAAD97vvc=")</f>
        <v>#REF!</v>
      </c>
      <c r="IO2" t="e">
        <f>AND(#REF!,"AAAAAD97vvg=")</f>
        <v>#REF!</v>
      </c>
      <c r="IP2" t="e">
        <f>AND(#REF!,"AAAAAD97vvk=")</f>
        <v>#REF!</v>
      </c>
      <c r="IQ2" t="e">
        <f>AND(#REF!,"AAAAAD97vvo=")</f>
        <v>#REF!</v>
      </c>
      <c r="IR2" t="e">
        <f>AND(#REF!,"AAAAAD97vvs=")</f>
        <v>#REF!</v>
      </c>
      <c r="IS2" t="e">
        <f>AND(#REF!,"AAAAAD97vvw=")</f>
        <v>#REF!</v>
      </c>
      <c r="IT2" t="e">
        <f>AND(#REF!,"AAAAAD97vv0=")</f>
        <v>#REF!</v>
      </c>
      <c r="IU2" t="e">
        <f>AND(#REF!,"AAAAAD97vv4=")</f>
        <v>#REF!</v>
      </c>
      <c r="IV2" t="e">
        <f>AND(#REF!,"AAAAAD97vv8=")</f>
        <v>#REF!</v>
      </c>
    </row>
    <row r="3" spans="1:256" x14ac:dyDescent="0.25">
      <c r="A3" t="e">
        <f>AND(#REF!,"AAAAAHvP+AA=")</f>
        <v>#REF!</v>
      </c>
      <c r="B3" t="e">
        <f>AND(#REF!,"AAAAAHvP+AE=")</f>
        <v>#REF!</v>
      </c>
      <c r="C3" t="e">
        <f>AND(#REF!,"AAAAAHvP+AI=")</f>
        <v>#REF!</v>
      </c>
      <c r="D3" t="e">
        <f>IF(#REF!,"AAAAAHvP+AM=",0)</f>
        <v>#REF!</v>
      </c>
      <c r="E3" t="e">
        <f>AND(#REF!,"AAAAAHvP+AQ=")</f>
        <v>#REF!</v>
      </c>
      <c r="F3" t="e">
        <f>AND(#REF!,"AAAAAHvP+AU=")</f>
        <v>#REF!</v>
      </c>
      <c r="G3" t="e">
        <f>AND(#REF!,"AAAAAHvP+AY=")</f>
        <v>#REF!</v>
      </c>
      <c r="H3" t="e">
        <f>AND(#REF!,"AAAAAHvP+Ac=")</f>
        <v>#REF!</v>
      </c>
      <c r="I3" t="e">
        <f>AND(#REF!,"AAAAAHvP+Ag=")</f>
        <v>#REF!</v>
      </c>
      <c r="J3" t="e">
        <f>AND(#REF!,"AAAAAHvP+Ak=")</f>
        <v>#REF!</v>
      </c>
      <c r="K3" t="e">
        <f>AND(#REF!,"AAAAAHvP+Ao=")</f>
        <v>#REF!</v>
      </c>
      <c r="L3" t="e">
        <f>AND(#REF!,"AAAAAHvP+As=")</f>
        <v>#REF!</v>
      </c>
      <c r="M3" t="e">
        <f>AND(#REF!,"AAAAAHvP+Aw=")</f>
        <v>#REF!</v>
      </c>
      <c r="N3" t="e">
        <f>AND(#REF!,"AAAAAHvP+A0=")</f>
        <v>#REF!</v>
      </c>
      <c r="O3" t="e">
        <f>AND(#REF!,"AAAAAHvP+A4=")</f>
        <v>#REF!</v>
      </c>
      <c r="P3" t="e">
        <f>AND(#REF!,"AAAAAHvP+A8=")</f>
        <v>#REF!</v>
      </c>
      <c r="Q3" t="e">
        <f>AND(#REF!,"AAAAAHvP+BA=")</f>
        <v>#REF!</v>
      </c>
      <c r="R3" t="e">
        <f>AND(#REF!,"AAAAAHvP+BE=")</f>
        <v>#REF!</v>
      </c>
      <c r="S3" t="e">
        <f>IF(#REF!,"AAAAAHvP+BI=",0)</f>
        <v>#REF!</v>
      </c>
      <c r="T3" t="e">
        <f>AND(#REF!,"AAAAAHvP+BM=")</f>
        <v>#REF!</v>
      </c>
      <c r="U3" t="e">
        <f>AND(#REF!,"AAAAAHvP+BQ=")</f>
        <v>#REF!</v>
      </c>
      <c r="V3" t="e">
        <f>AND(#REF!,"AAAAAHvP+BU=")</f>
        <v>#REF!</v>
      </c>
      <c r="W3" t="e">
        <f>AND(#REF!,"AAAAAHvP+BY=")</f>
        <v>#REF!</v>
      </c>
      <c r="X3" t="e">
        <f>AND(#REF!,"AAAAAHvP+Bc=")</f>
        <v>#REF!</v>
      </c>
      <c r="Y3" t="e">
        <f>AND(#REF!,"AAAAAHvP+Bg=")</f>
        <v>#REF!</v>
      </c>
      <c r="Z3" t="e">
        <f>AND(#REF!,"AAAAAHvP+Bk=")</f>
        <v>#REF!</v>
      </c>
      <c r="AA3" t="e">
        <f>AND(#REF!,"AAAAAHvP+Bo=")</f>
        <v>#REF!</v>
      </c>
      <c r="AB3" t="e">
        <f>AND(#REF!,"AAAAAHvP+Bs=")</f>
        <v>#REF!</v>
      </c>
      <c r="AC3" t="e">
        <f>AND(#REF!,"AAAAAHvP+Bw=")</f>
        <v>#REF!</v>
      </c>
      <c r="AD3" t="e">
        <f>AND(#REF!,"AAAAAHvP+B0=")</f>
        <v>#REF!</v>
      </c>
      <c r="AE3" t="e">
        <f>AND(#REF!,"AAAAAHvP+B4=")</f>
        <v>#REF!</v>
      </c>
      <c r="AF3" t="e">
        <f>AND(#REF!,"AAAAAHvP+B8=")</f>
        <v>#REF!</v>
      </c>
      <c r="AG3" t="e">
        <f>AND(#REF!,"AAAAAHvP+CA=")</f>
        <v>#REF!</v>
      </c>
      <c r="AH3" t="e">
        <f>IF(#REF!,"AAAAAHvP+CE=",0)</f>
        <v>#REF!</v>
      </c>
      <c r="AI3" t="e">
        <f>AND(#REF!,"AAAAAHvP+CI=")</f>
        <v>#REF!</v>
      </c>
      <c r="AJ3" t="e">
        <f>AND(#REF!,"AAAAAHvP+CM=")</f>
        <v>#REF!</v>
      </c>
      <c r="AK3" t="e">
        <f>AND(#REF!,"AAAAAHvP+CQ=")</f>
        <v>#REF!</v>
      </c>
      <c r="AL3" t="e">
        <f>AND(#REF!,"AAAAAHvP+CU=")</f>
        <v>#REF!</v>
      </c>
      <c r="AM3" t="e">
        <f>AND(#REF!,"AAAAAHvP+CY=")</f>
        <v>#REF!</v>
      </c>
      <c r="AN3" t="e">
        <f>AND(#REF!,"AAAAAHvP+Cc=")</f>
        <v>#REF!</v>
      </c>
      <c r="AO3" t="e">
        <f>AND(#REF!,"AAAAAHvP+Cg=")</f>
        <v>#REF!</v>
      </c>
      <c r="AP3" t="e">
        <f>AND(#REF!,"AAAAAHvP+Ck=")</f>
        <v>#REF!</v>
      </c>
      <c r="AQ3" t="e">
        <f>AND(#REF!,"AAAAAHvP+Co=")</f>
        <v>#REF!</v>
      </c>
      <c r="AR3" t="e">
        <f>AND(#REF!,"AAAAAHvP+Cs=")</f>
        <v>#REF!</v>
      </c>
      <c r="AS3" t="e">
        <f>AND(#REF!,"AAAAAHvP+Cw=")</f>
        <v>#REF!</v>
      </c>
      <c r="AT3" t="e">
        <f>AND(#REF!,"AAAAAHvP+C0=")</f>
        <v>#REF!</v>
      </c>
      <c r="AU3" t="e">
        <f>AND(#REF!,"AAAAAHvP+C4=")</f>
        <v>#REF!</v>
      </c>
      <c r="AV3" t="e">
        <f>AND(#REF!,"AAAAAHvP+C8=")</f>
        <v>#REF!</v>
      </c>
      <c r="AW3" t="e">
        <f>IF(#REF!,"AAAAAHvP+DA=",0)</f>
        <v>#REF!</v>
      </c>
      <c r="AX3" t="e">
        <f>AND(#REF!,"AAAAAHvP+DE=")</f>
        <v>#REF!</v>
      </c>
      <c r="AY3" t="e">
        <f>AND(#REF!,"AAAAAHvP+DI=")</f>
        <v>#REF!</v>
      </c>
      <c r="AZ3" t="e">
        <f>AND(#REF!,"AAAAAHvP+DM=")</f>
        <v>#REF!</v>
      </c>
      <c r="BA3" t="e">
        <f>AND(#REF!,"AAAAAHvP+DQ=")</f>
        <v>#REF!</v>
      </c>
      <c r="BB3" t="e">
        <f>AND(#REF!,"AAAAAHvP+DU=")</f>
        <v>#REF!</v>
      </c>
      <c r="BC3" t="e">
        <f>AND(#REF!,"AAAAAHvP+DY=")</f>
        <v>#REF!</v>
      </c>
      <c r="BD3" t="e">
        <f>AND(#REF!,"AAAAAHvP+Dc=")</f>
        <v>#REF!</v>
      </c>
      <c r="BE3" t="e">
        <f>AND(#REF!,"AAAAAHvP+Dg=")</f>
        <v>#REF!</v>
      </c>
      <c r="BF3" t="e">
        <f>AND(#REF!,"AAAAAHvP+Dk=")</f>
        <v>#REF!</v>
      </c>
      <c r="BG3" t="e">
        <f>AND(#REF!,"AAAAAHvP+Do=")</f>
        <v>#REF!</v>
      </c>
      <c r="BH3" t="e">
        <f>AND(#REF!,"AAAAAHvP+Ds=")</f>
        <v>#REF!</v>
      </c>
      <c r="BI3" t="e">
        <f>AND(#REF!,"AAAAAHvP+Dw=")</f>
        <v>#REF!</v>
      </c>
      <c r="BJ3" t="e">
        <f>AND(#REF!,"AAAAAHvP+D0=")</f>
        <v>#REF!</v>
      </c>
      <c r="BK3" t="e">
        <f>AND(#REF!,"AAAAAHvP+D4=")</f>
        <v>#REF!</v>
      </c>
      <c r="BL3" t="e">
        <f>IF(#REF!,"AAAAAHvP+D8=",0)</f>
        <v>#REF!</v>
      </c>
      <c r="BM3" t="e">
        <f>AND(#REF!,"AAAAAHvP+EA=")</f>
        <v>#REF!</v>
      </c>
      <c r="BN3" t="e">
        <f>AND(#REF!,"AAAAAHvP+EE=")</f>
        <v>#REF!</v>
      </c>
      <c r="BO3" t="e">
        <f>AND(#REF!,"AAAAAHvP+EI=")</f>
        <v>#REF!</v>
      </c>
      <c r="BP3" t="e">
        <f>AND(#REF!,"AAAAAHvP+EM=")</f>
        <v>#REF!</v>
      </c>
      <c r="BQ3" t="e">
        <f>AND(#REF!,"AAAAAHvP+EQ=")</f>
        <v>#REF!</v>
      </c>
      <c r="BR3" t="e">
        <f>AND(#REF!,"AAAAAHvP+EU=")</f>
        <v>#REF!</v>
      </c>
      <c r="BS3" t="e">
        <f>AND(#REF!,"AAAAAHvP+EY=")</f>
        <v>#REF!</v>
      </c>
      <c r="BT3" t="e">
        <f>AND(#REF!,"AAAAAHvP+Ec=")</f>
        <v>#REF!</v>
      </c>
      <c r="BU3" t="e">
        <f>AND(#REF!,"AAAAAHvP+Eg=")</f>
        <v>#REF!</v>
      </c>
      <c r="BV3" t="e">
        <f>AND(#REF!,"AAAAAHvP+Ek=")</f>
        <v>#REF!</v>
      </c>
      <c r="BW3" t="e">
        <f>AND(#REF!,"AAAAAHvP+Eo=")</f>
        <v>#REF!</v>
      </c>
      <c r="BX3" t="e">
        <f>AND(#REF!,"AAAAAHvP+Es=")</f>
        <v>#REF!</v>
      </c>
      <c r="BY3" t="e">
        <f>AND(#REF!,"AAAAAHvP+Ew=")</f>
        <v>#REF!</v>
      </c>
      <c r="BZ3" t="e">
        <f>AND(#REF!,"AAAAAHvP+E0=")</f>
        <v>#REF!</v>
      </c>
      <c r="CA3" t="e">
        <f>IF(#REF!,"AAAAAHvP+E4=",0)</f>
        <v>#REF!</v>
      </c>
      <c r="CB3" t="e">
        <f>AND(#REF!,"AAAAAHvP+E8=")</f>
        <v>#REF!</v>
      </c>
      <c r="CC3" t="e">
        <f>AND(#REF!,"AAAAAHvP+FA=")</f>
        <v>#REF!</v>
      </c>
      <c r="CD3" t="e">
        <f>AND(#REF!,"AAAAAHvP+FE=")</f>
        <v>#REF!</v>
      </c>
      <c r="CE3" t="e">
        <f>AND(#REF!,"AAAAAHvP+FI=")</f>
        <v>#REF!</v>
      </c>
      <c r="CF3" t="e">
        <f>AND(#REF!,"AAAAAHvP+FM=")</f>
        <v>#REF!</v>
      </c>
      <c r="CG3" t="e">
        <f>AND(#REF!,"AAAAAHvP+FQ=")</f>
        <v>#REF!</v>
      </c>
      <c r="CH3" t="e">
        <f>AND(#REF!,"AAAAAHvP+FU=")</f>
        <v>#REF!</v>
      </c>
      <c r="CI3" t="e">
        <f>AND(#REF!,"AAAAAHvP+FY=")</f>
        <v>#REF!</v>
      </c>
      <c r="CJ3" t="e">
        <f>AND(#REF!,"AAAAAHvP+Fc=")</f>
        <v>#REF!</v>
      </c>
      <c r="CK3" t="e">
        <f>AND(#REF!,"AAAAAHvP+Fg=")</f>
        <v>#REF!</v>
      </c>
      <c r="CL3" t="e">
        <f>AND(#REF!,"AAAAAHvP+Fk=")</f>
        <v>#REF!</v>
      </c>
      <c r="CM3" t="e">
        <f>AND(#REF!,"AAAAAHvP+Fo=")</f>
        <v>#REF!</v>
      </c>
      <c r="CN3" t="e">
        <f>AND(#REF!,"AAAAAHvP+Fs=")</f>
        <v>#REF!</v>
      </c>
      <c r="CO3" t="e">
        <f>AND(#REF!,"AAAAAHvP+Fw=")</f>
        <v>#REF!</v>
      </c>
      <c r="CP3" t="e">
        <f>IF(#REF!,"AAAAAHvP+F0=",0)</f>
        <v>#REF!</v>
      </c>
      <c r="CQ3" t="e">
        <f>AND(#REF!,"AAAAAHvP+F4=")</f>
        <v>#REF!</v>
      </c>
      <c r="CR3" t="e">
        <f>AND(#REF!,"AAAAAHvP+F8=")</f>
        <v>#REF!</v>
      </c>
      <c r="CS3" t="e">
        <f>AND(#REF!,"AAAAAHvP+GA=")</f>
        <v>#REF!</v>
      </c>
      <c r="CT3" t="e">
        <f>AND(#REF!,"AAAAAHvP+GE=")</f>
        <v>#REF!</v>
      </c>
      <c r="CU3" t="e">
        <f>AND(#REF!,"AAAAAHvP+GI=")</f>
        <v>#REF!</v>
      </c>
      <c r="CV3" t="e">
        <f>AND(#REF!,"AAAAAHvP+GM=")</f>
        <v>#REF!</v>
      </c>
      <c r="CW3" t="e">
        <f>AND(#REF!,"AAAAAHvP+GQ=")</f>
        <v>#REF!</v>
      </c>
      <c r="CX3" t="e">
        <f>AND(#REF!,"AAAAAHvP+GU=")</f>
        <v>#REF!</v>
      </c>
      <c r="CY3" t="e">
        <f>AND(#REF!,"AAAAAHvP+GY=")</f>
        <v>#REF!</v>
      </c>
      <c r="CZ3" t="e">
        <f>AND(#REF!,"AAAAAHvP+Gc=")</f>
        <v>#REF!</v>
      </c>
      <c r="DA3" t="e">
        <f>AND(#REF!,"AAAAAHvP+Gg=")</f>
        <v>#REF!</v>
      </c>
      <c r="DB3" t="e">
        <f>AND(#REF!,"AAAAAHvP+Gk=")</f>
        <v>#REF!</v>
      </c>
      <c r="DC3" t="e">
        <f>AND(#REF!,"AAAAAHvP+Go=")</f>
        <v>#REF!</v>
      </c>
      <c r="DD3" t="e">
        <f>AND(#REF!,"AAAAAHvP+Gs=")</f>
        <v>#REF!</v>
      </c>
      <c r="DE3" t="e">
        <f>IF(#REF!,"AAAAAHvP+Gw=",0)</f>
        <v>#REF!</v>
      </c>
      <c r="DF3" t="e">
        <f>AND(#REF!,"AAAAAHvP+G0=")</f>
        <v>#REF!</v>
      </c>
      <c r="DG3" t="e">
        <f>AND(#REF!,"AAAAAHvP+G4=")</f>
        <v>#REF!</v>
      </c>
      <c r="DH3" t="e">
        <f>AND(#REF!,"AAAAAHvP+G8=")</f>
        <v>#REF!</v>
      </c>
      <c r="DI3" t="e">
        <f>AND(#REF!,"AAAAAHvP+HA=")</f>
        <v>#REF!</v>
      </c>
      <c r="DJ3" t="e">
        <f>AND(#REF!,"AAAAAHvP+HE=")</f>
        <v>#REF!</v>
      </c>
      <c r="DK3" t="e">
        <f>AND(#REF!,"AAAAAHvP+HI=")</f>
        <v>#REF!</v>
      </c>
      <c r="DL3" t="e">
        <f>AND(#REF!,"AAAAAHvP+HM=")</f>
        <v>#REF!</v>
      </c>
      <c r="DM3" t="e">
        <f>AND(#REF!,"AAAAAHvP+HQ=")</f>
        <v>#REF!</v>
      </c>
      <c r="DN3" t="e">
        <f>AND(#REF!,"AAAAAHvP+HU=")</f>
        <v>#REF!</v>
      </c>
      <c r="DO3" t="e">
        <f>AND(#REF!,"AAAAAHvP+HY=")</f>
        <v>#REF!</v>
      </c>
      <c r="DP3" t="e">
        <f>AND(#REF!,"AAAAAHvP+Hc=")</f>
        <v>#REF!</v>
      </c>
      <c r="DQ3" t="e">
        <f>AND(#REF!,"AAAAAHvP+Hg=")</f>
        <v>#REF!</v>
      </c>
      <c r="DR3" t="e">
        <f>AND(#REF!,"AAAAAHvP+Hk=")</f>
        <v>#REF!</v>
      </c>
      <c r="DS3" t="e">
        <f>AND(#REF!,"AAAAAHvP+Ho=")</f>
        <v>#REF!</v>
      </c>
      <c r="DT3" t="e">
        <f>IF(#REF!,"AAAAAHvP+Hs=",0)</f>
        <v>#REF!</v>
      </c>
      <c r="DU3" t="e">
        <f>AND(#REF!,"AAAAAHvP+Hw=")</f>
        <v>#REF!</v>
      </c>
      <c r="DV3" t="e">
        <f>AND(#REF!,"AAAAAHvP+H0=")</f>
        <v>#REF!</v>
      </c>
      <c r="DW3" t="e">
        <f>AND(#REF!,"AAAAAHvP+H4=")</f>
        <v>#REF!</v>
      </c>
      <c r="DX3" t="e">
        <f>AND(#REF!,"AAAAAHvP+H8=")</f>
        <v>#REF!</v>
      </c>
      <c r="DY3" t="e">
        <f>AND(#REF!,"AAAAAHvP+IA=")</f>
        <v>#REF!</v>
      </c>
      <c r="DZ3" t="e">
        <f>AND(#REF!,"AAAAAHvP+IE=")</f>
        <v>#REF!</v>
      </c>
      <c r="EA3" t="e">
        <f>AND(#REF!,"AAAAAHvP+II=")</f>
        <v>#REF!</v>
      </c>
      <c r="EB3" t="e">
        <f>AND(#REF!,"AAAAAHvP+IM=")</f>
        <v>#REF!</v>
      </c>
      <c r="EC3" t="e">
        <f>AND(#REF!,"AAAAAHvP+IQ=")</f>
        <v>#REF!</v>
      </c>
      <c r="ED3" t="e">
        <f>AND(#REF!,"AAAAAHvP+IU=")</f>
        <v>#REF!</v>
      </c>
      <c r="EE3" t="e">
        <f>AND(#REF!,"AAAAAHvP+IY=")</f>
        <v>#REF!</v>
      </c>
      <c r="EF3" t="e">
        <f>AND(#REF!,"AAAAAHvP+Ic=")</f>
        <v>#REF!</v>
      </c>
      <c r="EG3" t="e">
        <f>AND(#REF!,"AAAAAHvP+Ig=")</f>
        <v>#REF!</v>
      </c>
      <c r="EH3" t="e">
        <f>AND(#REF!,"AAAAAHvP+Ik=")</f>
        <v>#REF!</v>
      </c>
      <c r="EI3" t="e">
        <f>IF(#REF!,"AAAAAHvP+Io=",0)</f>
        <v>#REF!</v>
      </c>
      <c r="EJ3" t="e">
        <f>AND(#REF!,"AAAAAHvP+Is=")</f>
        <v>#REF!</v>
      </c>
      <c r="EK3" t="e">
        <f>AND(#REF!,"AAAAAHvP+Iw=")</f>
        <v>#REF!</v>
      </c>
      <c r="EL3" t="e">
        <f>AND(#REF!,"AAAAAHvP+I0=")</f>
        <v>#REF!</v>
      </c>
      <c r="EM3" t="e">
        <f>AND(#REF!,"AAAAAHvP+I4=")</f>
        <v>#REF!</v>
      </c>
      <c r="EN3" t="e">
        <f>AND(#REF!,"AAAAAHvP+I8=")</f>
        <v>#REF!</v>
      </c>
      <c r="EO3" t="e">
        <f>AND(#REF!,"AAAAAHvP+JA=")</f>
        <v>#REF!</v>
      </c>
      <c r="EP3" t="e">
        <f>AND(#REF!,"AAAAAHvP+JE=")</f>
        <v>#REF!</v>
      </c>
      <c r="EQ3" t="e">
        <f>AND(#REF!,"AAAAAHvP+JI=")</f>
        <v>#REF!</v>
      </c>
      <c r="ER3" t="e">
        <f>AND(#REF!,"AAAAAHvP+JM=")</f>
        <v>#REF!</v>
      </c>
      <c r="ES3" t="e">
        <f>AND(#REF!,"AAAAAHvP+JQ=")</f>
        <v>#REF!</v>
      </c>
      <c r="ET3" t="e">
        <f>AND(#REF!,"AAAAAHvP+JU=")</f>
        <v>#REF!</v>
      </c>
      <c r="EU3" t="e">
        <f>AND(#REF!,"AAAAAHvP+JY=")</f>
        <v>#REF!</v>
      </c>
      <c r="EV3" t="e">
        <f>AND(#REF!,"AAAAAHvP+Jc=")</f>
        <v>#REF!</v>
      </c>
      <c r="EW3" t="e">
        <f>AND(#REF!,"AAAAAHvP+Jg=")</f>
        <v>#REF!</v>
      </c>
      <c r="EX3" t="e">
        <f>IF(#REF!,"AAAAAHvP+Jk=",0)</f>
        <v>#REF!</v>
      </c>
      <c r="EY3" t="e">
        <f>AND(#REF!,"AAAAAHvP+Jo=")</f>
        <v>#REF!</v>
      </c>
      <c r="EZ3" t="e">
        <f>AND(#REF!,"AAAAAHvP+Js=")</f>
        <v>#REF!</v>
      </c>
      <c r="FA3" t="e">
        <f>AND(#REF!,"AAAAAHvP+Jw=")</f>
        <v>#REF!</v>
      </c>
      <c r="FB3" t="e">
        <f>AND(#REF!,"AAAAAHvP+J0=")</f>
        <v>#REF!</v>
      </c>
      <c r="FC3" t="e">
        <f>AND(#REF!,"AAAAAHvP+J4=")</f>
        <v>#REF!</v>
      </c>
      <c r="FD3" t="e">
        <f>AND(#REF!,"AAAAAHvP+J8=")</f>
        <v>#REF!</v>
      </c>
      <c r="FE3" t="e">
        <f>AND(#REF!,"AAAAAHvP+KA=")</f>
        <v>#REF!</v>
      </c>
      <c r="FF3" t="e">
        <f>AND(#REF!,"AAAAAHvP+KE=")</f>
        <v>#REF!</v>
      </c>
      <c r="FG3" t="e">
        <f>AND(#REF!,"AAAAAHvP+KI=")</f>
        <v>#REF!</v>
      </c>
      <c r="FH3" t="e">
        <f>AND(#REF!,"AAAAAHvP+KM=")</f>
        <v>#REF!</v>
      </c>
      <c r="FI3" t="e">
        <f>AND(#REF!,"AAAAAHvP+KQ=")</f>
        <v>#REF!</v>
      </c>
      <c r="FJ3" t="e">
        <f>AND(#REF!,"AAAAAHvP+KU=")</f>
        <v>#REF!</v>
      </c>
      <c r="FK3" t="e">
        <f>AND(#REF!,"AAAAAHvP+KY=")</f>
        <v>#REF!</v>
      </c>
      <c r="FL3" t="e">
        <f>AND(#REF!,"AAAAAHvP+Kc=")</f>
        <v>#REF!</v>
      </c>
      <c r="FM3" t="e">
        <f>IF(#REF!,"AAAAAHvP+Kg=",0)</f>
        <v>#REF!</v>
      </c>
      <c r="FN3" t="e">
        <f>AND(#REF!,"AAAAAHvP+Kk=")</f>
        <v>#REF!</v>
      </c>
      <c r="FO3" t="e">
        <f>AND(#REF!,"AAAAAHvP+Ko=")</f>
        <v>#REF!</v>
      </c>
      <c r="FP3" t="e">
        <f>AND(#REF!,"AAAAAHvP+Ks=")</f>
        <v>#REF!</v>
      </c>
      <c r="FQ3" t="e">
        <f>AND(#REF!,"AAAAAHvP+Kw=")</f>
        <v>#REF!</v>
      </c>
      <c r="FR3" t="e">
        <f>AND(#REF!,"AAAAAHvP+K0=")</f>
        <v>#REF!</v>
      </c>
      <c r="FS3" t="e">
        <f>AND(#REF!,"AAAAAHvP+K4=")</f>
        <v>#REF!</v>
      </c>
      <c r="FT3" t="e">
        <f>AND(#REF!,"AAAAAHvP+K8=")</f>
        <v>#REF!</v>
      </c>
      <c r="FU3" t="e">
        <f>AND(#REF!,"AAAAAHvP+LA=")</f>
        <v>#REF!</v>
      </c>
      <c r="FV3" t="e">
        <f>AND(#REF!,"AAAAAHvP+LE=")</f>
        <v>#REF!</v>
      </c>
      <c r="FW3" t="e">
        <f>AND(#REF!,"AAAAAHvP+LI=")</f>
        <v>#REF!</v>
      </c>
      <c r="FX3" t="e">
        <f>AND(#REF!,"AAAAAHvP+LM=")</f>
        <v>#REF!</v>
      </c>
      <c r="FY3" t="e">
        <f>AND(#REF!,"AAAAAHvP+LQ=")</f>
        <v>#REF!</v>
      </c>
      <c r="FZ3" t="e">
        <f>AND(#REF!,"AAAAAHvP+LU=")</f>
        <v>#REF!</v>
      </c>
      <c r="GA3" t="e">
        <f>AND(#REF!,"AAAAAHvP+LY=")</f>
        <v>#REF!</v>
      </c>
      <c r="GB3" t="e">
        <f>IF(#REF!,"AAAAAHvP+Lc=",0)</f>
        <v>#REF!</v>
      </c>
      <c r="GC3" t="e">
        <f>AND(#REF!,"AAAAAHvP+Lg=")</f>
        <v>#REF!</v>
      </c>
      <c r="GD3" t="e">
        <f>AND(#REF!,"AAAAAHvP+Lk=")</f>
        <v>#REF!</v>
      </c>
      <c r="GE3" t="e">
        <f>AND(#REF!,"AAAAAHvP+Lo=")</f>
        <v>#REF!</v>
      </c>
      <c r="GF3" t="e">
        <f>AND(#REF!,"AAAAAHvP+Ls=")</f>
        <v>#REF!</v>
      </c>
      <c r="GG3" t="e">
        <f>AND(#REF!,"AAAAAHvP+Lw=")</f>
        <v>#REF!</v>
      </c>
      <c r="GH3" t="e">
        <f>AND(#REF!,"AAAAAHvP+L0=")</f>
        <v>#REF!</v>
      </c>
      <c r="GI3" t="e">
        <f>AND(#REF!,"AAAAAHvP+L4=")</f>
        <v>#REF!</v>
      </c>
      <c r="GJ3" t="e">
        <f>AND(#REF!,"AAAAAHvP+L8=")</f>
        <v>#REF!</v>
      </c>
      <c r="GK3" t="e">
        <f>AND(#REF!,"AAAAAHvP+MA=")</f>
        <v>#REF!</v>
      </c>
      <c r="GL3" t="e">
        <f>AND(#REF!,"AAAAAHvP+ME=")</f>
        <v>#REF!</v>
      </c>
      <c r="GM3" t="e">
        <f>AND(#REF!,"AAAAAHvP+MI=")</f>
        <v>#REF!</v>
      </c>
      <c r="GN3" t="e">
        <f>AND(#REF!,"AAAAAHvP+MM=")</f>
        <v>#REF!</v>
      </c>
      <c r="GO3" t="e">
        <f>AND(#REF!,"AAAAAHvP+MQ=")</f>
        <v>#REF!</v>
      </c>
      <c r="GP3" t="e">
        <f>AND(#REF!,"AAAAAHvP+MU=")</f>
        <v>#REF!</v>
      </c>
      <c r="GQ3" t="e">
        <f>IF(#REF!,"AAAAAHvP+MY=",0)</f>
        <v>#REF!</v>
      </c>
      <c r="GR3" t="e">
        <f>AND(#REF!,"AAAAAHvP+Mc=")</f>
        <v>#REF!</v>
      </c>
      <c r="GS3" t="e">
        <f>AND(#REF!,"AAAAAHvP+Mg=")</f>
        <v>#REF!</v>
      </c>
      <c r="GT3" t="e">
        <f>AND(#REF!,"AAAAAHvP+Mk=")</f>
        <v>#REF!</v>
      </c>
      <c r="GU3" t="e">
        <f>AND(#REF!,"AAAAAHvP+Mo=")</f>
        <v>#REF!</v>
      </c>
      <c r="GV3" t="e">
        <f>AND(#REF!,"AAAAAHvP+Ms=")</f>
        <v>#REF!</v>
      </c>
      <c r="GW3" t="e">
        <f>AND(#REF!,"AAAAAHvP+Mw=")</f>
        <v>#REF!</v>
      </c>
      <c r="GX3" t="e">
        <f>AND(#REF!,"AAAAAHvP+M0=")</f>
        <v>#REF!</v>
      </c>
      <c r="GY3" t="e">
        <f>AND(#REF!,"AAAAAHvP+M4=")</f>
        <v>#REF!</v>
      </c>
      <c r="GZ3" t="e">
        <f>AND(#REF!,"AAAAAHvP+M8=")</f>
        <v>#REF!</v>
      </c>
      <c r="HA3" t="e">
        <f>AND(#REF!,"AAAAAHvP+NA=")</f>
        <v>#REF!</v>
      </c>
      <c r="HB3" t="e">
        <f>AND(#REF!,"AAAAAHvP+NE=")</f>
        <v>#REF!</v>
      </c>
      <c r="HC3" t="e">
        <f>AND(#REF!,"AAAAAHvP+NI=")</f>
        <v>#REF!</v>
      </c>
      <c r="HD3" t="e">
        <f>AND(#REF!,"AAAAAHvP+NM=")</f>
        <v>#REF!</v>
      </c>
      <c r="HE3" t="e">
        <f>AND(#REF!,"AAAAAHvP+NQ=")</f>
        <v>#REF!</v>
      </c>
      <c r="HF3" t="e">
        <f>IF(#REF!,"AAAAAHvP+NU=",0)</f>
        <v>#REF!</v>
      </c>
      <c r="HG3" t="e">
        <f>AND(#REF!,"AAAAAHvP+NY=")</f>
        <v>#REF!</v>
      </c>
      <c r="HH3" t="e">
        <f>AND(#REF!,"AAAAAHvP+Nc=")</f>
        <v>#REF!</v>
      </c>
      <c r="HI3" t="e">
        <f>AND(#REF!,"AAAAAHvP+Ng=")</f>
        <v>#REF!</v>
      </c>
      <c r="HJ3" t="e">
        <f>AND(#REF!,"AAAAAHvP+Nk=")</f>
        <v>#REF!</v>
      </c>
      <c r="HK3" t="e">
        <f>AND(#REF!,"AAAAAHvP+No=")</f>
        <v>#REF!</v>
      </c>
      <c r="HL3" t="e">
        <f>AND(#REF!,"AAAAAHvP+Ns=")</f>
        <v>#REF!</v>
      </c>
      <c r="HM3" t="e">
        <f>AND(#REF!,"AAAAAHvP+Nw=")</f>
        <v>#REF!</v>
      </c>
      <c r="HN3" t="e">
        <f>AND(#REF!,"AAAAAHvP+N0=")</f>
        <v>#REF!</v>
      </c>
      <c r="HO3" t="e">
        <f>AND(#REF!,"AAAAAHvP+N4=")</f>
        <v>#REF!</v>
      </c>
      <c r="HP3" t="e">
        <f>AND(#REF!,"AAAAAHvP+N8=")</f>
        <v>#REF!</v>
      </c>
      <c r="HQ3" t="e">
        <f>AND(#REF!,"AAAAAHvP+OA=")</f>
        <v>#REF!</v>
      </c>
      <c r="HR3" t="e">
        <f>AND(#REF!,"AAAAAHvP+OE=")</f>
        <v>#REF!</v>
      </c>
      <c r="HS3" t="e">
        <f>AND(#REF!,"AAAAAHvP+OI=")</f>
        <v>#REF!</v>
      </c>
      <c r="HT3" t="e">
        <f>AND(#REF!,"AAAAAHvP+OM=")</f>
        <v>#REF!</v>
      </c>
      <c r="HU3" t="e">
        <f>IF(#REF!,"AAAAAHvP+OQ=",0)</f>
        <v>#REF!</v>
      </c>
      <c r="HV3" t="e">
        <f>AND(#REF!,"AAAAAHvP+OU=")</f>
        <v>#REF!</v>
      </c>
      <c r="HW3" t="e">
        <f>AND(#REF!,"AAAAAHvP+OY=")</f>
        <v>#REF!</v>
      </c>
      <c r="HX3" t="e">
        <f>AND(#REF!,"AAAAAHvP+Oc=")</f>
        <v>#REF!</v>
      </c>
      <c r="HY3" t="e">
        <f>AND(#REF!,"AAAAAHvP+Og=")</f>
        <v>#REF!</v>
      </c>
      <c r="HZ3" t="e">
        <f>AND(#REF!,"AAAAAHvP+Ok=")</f>
        <v>#REF!</v>
      </c>
      <c r="IA3" t="e">
        <f>AND(#REF!,"AAAAAHvP+Oo=")</f>
        <v>#REF!</v>
      </c>
      <c r="IB3" t="e">
        <f>AND(#REF!,"AAAAAHvP+Os=")</f>
        <v>#REF!</v>
      </c>
      <c r="IC3" t="e">
        <f>AND(#REF!,"AAAAAHvP+Ow=")</f>
        <v>#REF!</v>
      </c>
      <c r="ID3" t="e">
        <f>AND(#REF!,"AAAAAHvP+O0=")</f>
        <v>#REF!</v>
      </c>
      <c r="IE3" t="e">
        <f>AND(#REF!,"AAAAAHvP+O4=")</f>
        <v>#REF!</v>
      </c>
      <c r="IF3" t="e">
        <f>AND(#REF!,"AAAAAHvP+O8=")</f>
        <v>#REF!</v>
      </c>
      <c r="IG3" t="e">
        <f>AND(#REF!,"AAAAAHvP+PA=")</f>
        <v>#REF!</v>
      </c>
      <c r="IH3" t="e">
        <f>AND(#REF!,"AAAAAHvP+PE=")</f>
        <v>#REF!</v>
      </c>
      <c r="II3" t="e">
        <f>AND(#REF!,"AAAAAHvP+PI=")</f>
        <v>#REF!</v>
      </c>
      <c r="IJ3" t="e">
        <f>IF(#REF!,"AAAAAHvP+PM=",0)</f>
        <v>#REF!</v>
      </c>
      <c r="IK3" t="e">
        <f>AND(#REF!,"AAAAAHvP+PQ=")</f>
        <v>#REF!</v>
      </c>
      <c r="IL3" t="e">
        <f>AND(#REF!,"AAAAAHvP+PU=")</f>
        <v>#REF!</v>
      </c>
      <c r="IM3" t="e">
        <f>AND(#REF!,"AAAAAHvP+PY=")</f>
        <v>#REF!</v>
      </c>
      <c r="IN3" t="e">
        <f>AND(#REF!,"AAAAAHvP+Pc=")</f>
        <v>#REF!</v>
      </c>
      <c r="IO3" t="e">
        <f>AND(#REF!,"AAAAAHvP+Pg=")</f>
        <v>#REF!</v>
      </c>
      <c r="IP3" t="e">
        <f>AND(#REF!,"AAAAAHvP+Pk=")</f>
        <v>#REF!</v>
      </c>
      <c r="IQ3" t="e">
        <f>AND(#REF!,"AAAAAHvP+Po=")</f>
        <v>#REF!</v>
      </c>
      <c r="IR3" t="e">
        <f>AND(#REF!,"AAAAAHvP+Ps=")</f>
        <v>#REF!</v>
      </c>
      <c r="IS3" t="e">
        <f>AND(#REF!,"AAAAAHvP+Pw=")</f>
        <v>#REF!</v>
      </c>
      <c r="IT3" t="e">
        <f>AND(#REF!,"AAAAAHvP+P0=")</f>
        <v>#REF!</v>
      </c>
      <c r="IU3" t="e">
        <f>AND(#REF!,"AAAAAHvP+P4=")</f>
        <v>#REF!</v>
      </c>
      <c r="IV3" t="e">
        <f>AND(#REF!,"AAAAAHvP+P8=")</f>
        <v>#REF!</v>
      </c>
    </row>
    <row r="4" spans="1:256" x14ac:dyDescent="0.25">
      <c r="A4" t="e">
        <f>AND(#REF!,"AAAAAG+/+wA=")</f>
        <v>#REF!</v>
      </c>
      <c r="B4" t="e">
        <f>AND(#REF!,"AAAAAG+/+wE=")</f>
        <v>#REF!</v>
      </c>
      <c r="C4" t="e">
        <f>IF(#REF!,"AAAAAG+/+wI=",0)</f>
        <v>#REF!</v>
      </c>
      <c r="D4" t="e">
        <f>AND(#REF!,"AAAAAG+/+wM=")</f>
        <v>#REF!</v>
      </c>
      <c r="E4" t="e">
        <f>AND(#REF!,"AAAAAG+/+wQ=")</f>
        <v>#REF!</v>
      </c>
      <c r="F4" t="e">
        <f>AND(#REF!,"AAAAAG+/+wU=")</f>
        <v>#REF!</v>
      </c>
      <c r="G4" t="e">
        <f>AND(#REF!,"AAAAAG+/+wY=")</f>
        <v>#REF!</v>
      </c>
      <c r="H4" t="e">
        <f>AND(#REF!,"AAAAAG+/+wc=")</f>
        <v>#REF!</v>
      </c>
      <c r="I4" t="e">
        <f>AND(#REF!,"AAAAAG+/+wg=")</f>
        <v>#REF!</v>
      </c>
      <c r="J4" t="e">
        <f>AND(#REF!,"AAAAAG+/+wk=")</f>
        <v>#REF!</v>
      </c>
      <c r="K4" t="e">
        <f>AND(#REF!,"AAAAAG+/+wo=")</f>
        <v>#REF!</v>
      </c>
      <c r="L4" t="e">
        <f>AND(#REF!,"AAAAAG+/+ws=")</f>
        <v>#REF!</v>
      </c>
      <c r="M4" t="e">
        <f>AND(#REF!,"AAAAAG+/+ww=")</f>
        <v>#REF!</v>
      </c>
      <c r="N4" t="e">
        <f>AND(#REF!,"AAAAAG+/+w0=")</f>
        <v>#REF!</v>
      </c>
      <c r="O4" t="e">
        <f>AND(#REF!,"AAAAAG+/+w4=")</f>
        <v>#REF!</v>
      </c>
      <c r="P4" t="e">
        <f>AND(#REF!,"AAAAAG+/+w8=")</f>
        <v>#REF!</v>
      </c>
      <c r="Q4" t="e">
        <f>AND(#REF!,"AAAAAG+/+xA=")</f>
        <v>#REF!</v>
      </c>
      <c r="R4" t="e">
        <f>IF(#REF!,"AAAAAG+/+xE=",0)</f>
        <v>#REF!</v>
      </c>
      <c r="S4" t="e">
        <f>AND(#REF!,"AAAAAG+/+xI=")</f>
        <v>#REF!</v>
      </c>
      <c r="T4" t="e">
        <f>AND(#REF!,"AAAAAG+/+xM=")</f>
        <v>#REF!</v>
      </c>
      <c r="U4" t="e">
        <f>AND(#REF!,"AAAAAG+/+xQ=")</f>
        <v>#REF!</v>
      </c>
      <c r="V4" t="e">
        <f>AND(#REF!,"AAAAAG+/+xU=")</f>
        <v>#REF!</v>
      </c>
      <c r="W4" t="e">
        <f>AND(#REF!,"AAAAAG+/+xY=")</f>
        <v>#REF!</v>
      </c>
      <c r="X4" t="e">
        <f>AND(#REF!,"AAAAAG+/+xc=")</f>
        <v>#REF!</v>
      </c>
      <c r="Y4" t="e">
        <f>AND(#REF!,"AAAAAG+/+xg=")</f>
        <v>#REF!</v>
      </c>
      <c r="Z4" t="e">
        <f>AND(#REF!,"AAAAAG+/+xk=")</f>
        <v>#REF!</v>
      </c>
      <c r="AA4" t="e">
        <f>AND(#REF!,"AAAAAG+/+xo=")</f>
        <v>#REF!</v>
      </c>
      <c r="AB4" t="e">
        <f>AND(#REF!,"AAAAAG+/+xs=")</f>
        <v>#REF!</v>
      </c>
      <c r="AC4" t="e">
        <f>AND(#REF!,"AAAAAG+/+xw=")</f>
        <v>#REF!</v>
      </c>
      <c r="AD4" t="e">
        <f>AND(#REF!,"AAAAAG+/+x0=")</f>
        <v>#REF!</v>
      </c>
      <c r="AE4" t="e">
        <f>AND(#REF!,"AAAAAG+/+x4=")</f>
        <v>#REF!</v>
      </c>
      <c r="AF4" t="e">
        <f>AND(#REF!,"AAAAAG+/+x8=")</f>
        <v>#REF!</v>
      </c>
      <c r="AG4" t="e">
        <f>IF(#REF!,"AAAAAG+/+yA=",0)</f>
        <v>#REF!</v>
      </c>
      <c r="AH4" t="e">
        <f>AND(#REF!,"AAAAAG+/+yE=")</f>
        <v>#REF!</v>
      </c>
      <c r="AI4" t="e">
        <f>IF(#REF!,"AAAAAG+/+yI=",0)</f>
        <v>#REF!</v>
      </c>
      <c r="AJ4" t="e">
        <f>AND(#REF!,"AAAAAG+/+yM=")</f>
        <v>#REF!</v>
      </c>
      <c r="AK4" t="e">
        <f>IF(#REF!,"AAAAAG+/+yQ=",0)</f>
        <v>#REF!</v>
      </c>
      <c r="AL4" t="e">
        <f>IF(#REF!,"AAAAAG+/+yU=",0)</f>
        <v>#REF!</v>
      </c>
      <c r="AM4" t="e">
        <f>IF(#REF!,"AAAAAG+/+yY=",0)</f>
        <v>#REF!</v>
      </c>
      <c r="AN4" t="e">
        <f>IF(#REF!,"AAAAAG+/+yc=",0)</f>
        <v>#REF!</v>
      </c>
      <c r="AO4" t="e">
        <f>IF(#REF!,"AAAAAG+/+yg=",0)</f>
        <v>#REF!</v>
      </c>
      <c r="AP4" t="e">
        <f>IF(#REF!,"AAAAAG+/+yk=",0)</f>
        <v>#REF!</v>
      </c>
      <c r="AQ4" t="e">
        <f>IF(#REF!,"AAAAAG+/+yo=",0)</f>
        <v>#REF!</v>
      </c>
      <c r="AR4" t="e">
        <f>IF(#REF!,"AAAAAG+/+ys=",0)</f>
        <v>#REF!</v>
      </c>
      <c r="AS4" t="e">
        <f>IF(#REF!,"AAAAAG+/+yw=",0)</f>
        <v>#REF!</v>
      </c>
      <c r="AT4" t="e">
        <f>IF(#REF!,"AAAAAG+/+y0=",0)</f>
        <v>#REF!</v>
      </c>
      <c r="AU4" t="e">
        <f>IF(#REF!,"AAAAAG+/+y4=",0)</f>
        <v>#REF!</v>
      </c>
      <c r="AV4" t="e">
        <f>IF(#REF!,"AAAAAG+/+y8=",0)</f>
        <v>#REF!</v>
      </c>
      <c r="AW4" t="e">
        <f>IF(#REF!,"AAAAAG+/+zA=",0)</f>
        <v>#REF!</v>
      </c>
      <c r="AX4" t="e">
        <f>IF(#REF!,"AAAAAG+/+zE=",0)</f>
        <v>#REF!</v>
      </c>
      <c r="AY4" s="8" t="s">
        <v>26</v>
      </c>
      <c r="AZ4" t="s">
        <v>27</v>
      </c>
      <c r="BA4" s="9" t="s">
        <v>28</v>
      </c>
      <c r="BB4" s="10" t="s">
        <v>29</v>
      </c>
      <c r="BC4" t="e">
        <f>IF("N",[0]!_xlnm.Print_Area,"AAAAAG+/+zY=")</f>
        <v>#VALUE!</v>
      </c>
      <c r="BD4" t="e">
        <f>IF("N",_xlnm.Print_Area,"AAAAAG+/+zc=")</f>
        <v>#VALUE!</v>
      </c>
      <c r="BE4" t="e">
        <f>IF("N",[0]!_xlnm.Print_Titles,"AAAAAG+/+zg=")</f>
        <v>#VALUE!</v>
      </c>
      <c r="BF4" t="e">
        <f>IF("N",_xlnm.Print_Titles,"AAAAAG+/+zk=")</f>
        <v>#VALUE!</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8"/>
  <sheetViews>
    <sheetView tabSelected="1" workbookViewId="0">
      <pane ySplit="5" topLeftCell="A237" activePane="bottomLeft" state="frozen"/>
      <selection pane="bottomLeft" activeCell="C239" sqref="C239"/>
    </sheetView>
  </sheetViews>
  <sheetFormatPr defaultRowHeight="15" x14ac:dyDescent="0.25"/>
  <cols>
    <col min="1" max="1" width="7.140625" customWidth="1"/>
    <col min="2" max="2" width="45.140625" customWidth="1"/>
    <col min="3" max="3" width="19.7109375" customWidth="1"/>
    <col min="4" max="4" width="14.42578125" customWidth="1"/>
    <col min="5" max="5" width="14.28515625" customWidth="1"/>
    <col min="6" max="6" width="20.42578125" bestFit="1" customWidth="1"/>
    <col min="7" max="7" width="20.140625" style="43" customWidth="1"/>
    <col min="8" max="8" width="14.42578125" style="43" customWidth="1"/>
    <col min="9" max="9" width="16.5703125" customWidth="1"/>
    <col min="10" max="10" width="12.42578125" customWidth="1"/>
    <col min="11" max="11" width="9.140625" customWidth="1"/>
  </cols>
  <sheetData>
    <row r="1" spans="1:10" ht="30" x14ac:dyDescent="0.25">
      <c r="A1" s="11" t="s">
        <v>2</v>
      </c>
      <c r="B1" s="1" t="s">
        <v>3</v>
      </c>
      <c r="C1" s="1" t="s">
        <v>54</v>
      </c>
      <c r="D1" s="1" t="s">
        <v>4</v>
      </c>
      <c r="E1" s="1" t="s">
        <v>5</v>
      </c>
      <c r="F1" s="1" t="s">
        <v>421</v>
      </c>
      <c r="G1" s="59" t="s">
        <v>55</v>
      </c>
      <c r="H1" s="20" t="s">
        <v>56</v>
      </c>
    </row>
    <row r="2" spans="1:10" ht="6" customHeight="1" x14ac:dyDescent="0.25">
      <c r="A2" s="12"/>
      <c r="B2" s="2"/>
      <c r="C2" s="2"/>
      <c r="D2" s="2"/>
      <c r="E2" s="2"/>
      <c r="F2" s="2"/>
      <c r="G2" s="2"/>
      <c r="H2" s="5"/>
    </row>
    <row r="3" spans="1:10" x14ac:dyDescent="0.25">
      <c r="A3" s="13"/>
      <c r="B3" s="319" t="s">
        <v>1</v>
      </c>
      <c r="C3" s="319"/>
      <c r="D3" s="319"/>
      <c r="E3" s="319"/>
      <c r="F3" s="319"/>
      <c r="G3" s="319"/>
      <c r="H3" s="319"/>
    </row>
    <row r="4" spans="1:10" ht="48.75" customHeight="1" x14ac:dyDescent="0.25">
      <c r="A4" s="12"/>
      <c r="B4" s="320" t="s">
        <v>0</v>
      </c>
      <c r="C4" s="320"/>
      <c r="D4" s="320"/>
      <c r="E4" s="320"/>
      <c r="F4" s="320"/>
      <c r="G4" s="320"/>
      <c r="H4" s="320"/>
    </row>
    <row r="5" spans="1:10" ht="6.75" customHeight="1" thickBot="1" x14ac:dyDescent="0.3">
      <c r="A5" s="110"/>
      <c r="B5" s="111"/>
      <c r="C5" s="111"/>
      <c r="D5" s="38"/>
      <c r="E5" s="38"/>
      <c r="F5" s="38"/>
      <c r="G5" s="38"/>
      <c r="H5" s="112"/>
    </row>
    <row r="6" spans="1:10" x14ac:dyDescent="0.25">
      <c r="A6" s="113"/>
      <c r="B6" s="302" t="s">
        <v>570</v>
      </c>
      <c r="C6" s="302"/>
      <c r="D6" s="302"/>
      <c r="E6" s="302"/>
      <c r="F6" s="302"/>
      <c r="G6" s="302"/>
      <c r="H6" s="303"/>
    </row>
    <row r="7" spans="1:10" x14ac:dyDescent="0.25">
      <c r="A7" s="14"/>
      <c r="B7" s="4"/>
      <c r="C7" s="4"/>
      <c r="D7" s="4"/>
      <c r="E7" s="2"/>
      <c r="F7" s="2"/>
      <c r="G7" s="2"/>
      <c r="H7" s="114"/>
    </row>
    <row r="8" spans="1:10" x14ac:dyDescent="0.25">
      <c r="A8" s="15" t="s">
        <v>6</v>
      </c>
      <c r="B8" s="321" t="s">
        <v>571</v>
      </c>
      <c r="C8" s="321"/>
      <c r="D8" s="321"/>
      <c r="E8" s="321"/>
      <c r="F8" s="321"/>
      <c r="G8" s="321"/>
      <c r="H8" s="322"/>
    </row>
    <row r="9" spans="1:10" x14ac:dyDescent="0.25">
      <c r="A9" s="115"/>
      <c r="B9" s="314" t="s">
        <v>7</v>
      </c>
      <c r="C9" s="315"/>
      <c r="D9" s="315"/>
      <c r="E9" s="315"/>
      <c r="F9" s="315"/>
      <c r="G9" s="315"/>
      <c r="H9" s="316"/>
    </row>
    <row r="10" spans="1:10" x14ac:dyDescent="0.25">
      <c r="A10" s="116"/>
      <c r="B10" s="323" t="s">
        <v>85</v>
      </c>
      <c r="C10" s="324"/>
      <c r="D10" s="324"/>
      <c r="E10" s="324"/>
      <c r="F10" s="324"/>
      <c r="G10" s="324"/>
      <c r="H10" s="325"/>
      <c r="J10" s="99"/>
    </row>
    <row r="11" spans="1:10" x14ac:dyDescent="0.25">
      <c r="A11" s="116"/>
      <c r="B11" s="29" t="s">
        <v>86</v>
      </c>
      <c r="C11" s="86"/>
      <c r="D11" s="86"/>
      <c r="E11" s="86" t="s">
        <v>340</v>
      </c>
      <c r="F11" s="86">
        <v>24000</v>
      </c>
      <c r="G11" s="86" t="s">
        <v>354</v>
      </c>
      <c r="H11" s="117"/>
    </row>
    <row r="12" spans="1:10" x14ac:dyDescent="0.25">
      <c r="A12" s="116"/>
      <c r="B12" s="29" t="s">
        <v>87</v>
      </c>
      <c r="C12" s="86"/>
      <c r="D12" s="86"/>
      <c r="E12" s="86" t="s">
        <v>340</v>
      </c>
      <c r="F12" s="86">
        <v>6000</v>
      </c>
      <c r="G12" s="86" t="s">
        <v>355</v>
      </c>
      <c r="H12" s="117"/>
    </row>
    <row r="13" spans="1:10" x14ac:dyDescent="0.25">
      <c r="A13" s="116"/>
      <c r="B13" s="29" t="s">
        <v>88</v>
      </c>
      <c r="C13" s="86"/>
      <c r="D13" s="86"/>
      <c r="E13" s="86" t="s">
        <v>340</v>
      </c>
      <c r="F13" s="86">
        <v>4200</v>
      </c>
      <c r="G13" s="86" t="s">
        <v>397</v>
      </c>
      <c r="H13" s="117"/>
      <c r="J13" s="193"/>
    </row>
    <row r="14" spans="1:10" x14ac:dyDescent="0.25">
      <c r="A14" s="116"/>
      <c r="B14" s="83" t="s">
        <v>356</v>
      </c>
      <c r="C14" s="103"/>
      <c r="D14" s="3"/>
      <c r="E14" s="86" t="s">
        <v>340</v>
      </c>
      <c r="F14" s="86">
        <v>6000</v>
      </c>
      <c r="G14" s="86" t="s">
        <v>355</v>
      </c>
      <c r="H14" s="118"/>
    </row>
    <row r="15" spans="1:10" x14ac:dyDescent="0.25">
      <c r="A15" s="116"/>
      <c r="B15" s="323" t="s">
        <v>89</v>
      </c>
      <c r="C15" s="324"/>
      <c r="D15" s="324"/>
      <c r="E15" s="324"/>
      <c r="F15" s="324"/>
      <c r="G15" s="324"/>
      <c r="H15" s="325"/>
    </row>
    <row r="16" spans="1:10" x14ac:dyDescent="0.25">
      <c r="A16" s="119"/>
      <c r="B16" s="29" t="s">
        <v>399</v>
      </c>
      <c r="C16" s="33"/>
      <c r="D16" s="33"/>
      <c r="E16" s="33" t="s">
        <v>566</v>
      </c>
      <c r="F16" s="86">
        <v>9000</v>
      </c>
      <c r="G16" s="34"/>
      <c r="H16" s="120"/>
    </row>
    <row r="17" spans="1:8" x14ac:dyDescent="0.25">
      <c r="A17" s="119"/>
      <c r="B17" s="29" t="s">
        <v>398</v>
      </c>
      <c r="C17" s="33"/>
      <c r="D17" s="33"/>
      <c r="E17" s="33" t="s">
        <v>565</v>
      </c>
      <c r="F17" s="86">
        <v>13500</v>
      </c>
      <c r="G17" s="34"/>
      <c r="H17" s="120"/>
    </row>
    <row r="18" spans="1:8" ht="30.75" customHeight="1" x14ac:dyDescent="0.25">
      <c r="A18" s="121"/>
      <c r="B18" s="300" t="s">
        <v>335</v>
      </c>
      <c r="C18" s="300"/>
      <c r="D18" s="300"/>
      <c r="E18" s="300"/>
      <c r="F18" s="300"/>
      <c r="G18" s="300"/>
      <c r="H18" s="301"/>
    </row>
    <row r="19" spans="1:8" x14ac:dyDescent="0.25">
      <c r="A19" s="122"/>
      <c r="B19" s="304" t="s">
        <v>30</v>
      </c>
      <c r="C19" s="304"/>
      <c r="D19" s="304"/>
      <c r="E19" s="304"/>
      <c r="F19" s="304"/>
      <c r="G19" s="304"/>
      <c r="H19" s="305"/>
    </row>
    <row r="20" spans="1:8" ht="60" x14ac:dyDescent="0.25">
      <c r="A20" s="115" t="s">
        <v>9</v>
      </c>
      <c r="B20" s="2" t="s">
        <v>31</v>
      </c>
      <c r="C20" s="2" t="s">
        <v>63</v>
      </c>
      <c r="D20" s="2" t="s">
        <v>64</v>
      </c>
      <c r="E20" s="2" t="s">
        <v>567</v>
      </c>
      <c r="F20" s="22">
        <v>100000</v>
      </c>
      <c r="G20" s="2" t="s">
        <v>64</v>
      </c>
      <c r="H20" s="123" t="s">
        <v>572</v>
      </c>
    </row>
    <row r="21" spans="1:8" ht="75" x14ac:dyDescent="0.25">
      <c r="A21" s="115" t="s">
        <v>10</v>
      </c>
      <c r="B21" s="2" t="s">
        <v>32</v>
      </c>
      <c r="C21" s="2" t="s">
        <v>339</v>
      </c>
      <c r="D21" s="2" t="s">
        <v>72</v>
      </c>
      <c r="E21" s="2" t="s">
        <v>450</v>
      </c>
      <c r="F21" s="22">
        <v>80000</v>
      </c>
      <c r="G21" s="2" t="s">
        <v>73</v>
      </c>
      <c r="H21" s="123" t="s">
        <v>572</v>
      </c>
    </row>
    <row r="22" spans="1:8" x14ac:dyDescent="0.25">
      <c r="A22" s="121"/>
      <c r="B22" s="306" t="s">
        <v>11</v>
      </c>
      <c r="C22" s="307"/>
      <c r="D22" s="307"/>
      <c r="E22" s="307"/>
      <c r="F22" s="307"/>
      <c r="G22" s="307"/>
      <c r="H22" s="308"/>
    </row>
    <row r="23" spans="1:8" x14ac:dyDescent="0.25">
      <c r="A23" s="122"/>
      <c r="B23" s="93" t="s">
        <v>8</v>
      </c>
      <c r="C23" s="93"/>
      <c r="D23" s="93"/>
      <c r="E23" s="93"/>
      <c r="F23" s="93"/>
      <c r="G23" s="93"/>
      <c r="H23" s="125"/>
    </row>
    <row r="24" spans="1:8" ht="64.5" customHeight="1" x14ac:dyDescent="0.25">
      <c r="A24" s="115" t="s">
        <v>12</v>
      </c>
      <c r="B24" s="5" t="s">
        <v>417</v>
      </c>
      <c r="C24" s="2" t="s">
        <v>57</v>
      </c>
      <c r="D24" s="2" t="s">
        <v>74</v>
      </c>
      <c r="E24" s="2" t="s">
        <v>568</v>
      </c>
      <c r="F24" s="22">
        <v>5000</v>
      </c>
      <c r="G24" s="2" t="s">
        <v>342</v>
      </c>
      <c r="H24" s="124"/>
    </row>
    <row r="25" spans="1:8" ht="51.75" customHeight="1" x14ac:dyDescent="0.25">
      <c r="A25" s="115" t="s">
        <v>13</v>
      </c>
      <c r="B25" s="21" t="s">
        <v>418</v>
      </c>
      <c r="C25" s="2" t="s">
        <v>65</v>
      </c>
      <c r="D25" s="2" t="s">
        <v>74</v>
      </c>
      <c r="E25" s="2" t="s">
        <v>568</v>
      </c>
      <c r="F25" s="22">
        <v>20000</v>
      </c>
      <c r="G25" s="2" t="s">
        <v>342</v>
      </c>
      <c r="H25" s="279" t="s">
        <v>573</v>
      </c>
    </row>
    <row r="26" spans="1:8" ht="52.5" customHeight="1" x14ac:dyDescent="0.25">
      <c r="A26" s="115" t="s">
        <v>14</v>
      </c>
      <c r="B26" s="5" t="s">
        <v>33</v>
      </c>
      <c r="C26" s="2" t="s">
        <v>66</v>
      </c>
      <c r="D26" s="2" t="s">
        <v>76</v>
      </c>
      <c r="E26" s="2" t="s">
        <v>340</v>
      </c>
      <c r="F26" s="22">
        <v>60000</v>
      </c>
      <c r="G26" s="2"/>
      <c r="H26" s="279" t="s">
        <v>574</v>
      </c>
    </row>
    <row r="27" spans="1:8" ht="39.75" customHeight="1" x14ac:dyDescent="0.25">
      <c r="A27" s="126" t="s">
        <v>45</v>
      </c>
      <c r="B27" s="317" t="s">
        <v>34</v>
      </c>
      <c r="C27" s="317"/>
      <c r="D27" s="317"/>
      <c r="E27" s="317"/>
      <c r="F27" s="317"/>
      <c r="G27" s="317"/>
      <c r="H27" s="318"/>
    </row>
    <row r="28" spans="1:8" ht="37.5" customHeight="1" x14ac:dyDescent="0.25">
      <c r="A28" s="126" t="s">
        <v>46</v>
      </c>
      <c r="B28" s="66" t="s">
        <v>419</v>
      </c>
      <c r="C28" s="2" t="s">
        <v>67</v>
      </c>
      <c r="D28" s="2" t="s">
        <v>72</v>
      </c>
      <c r="E28" s="2" t="s">
        <v>343</v>
      </c>
      <c r="F28" s="23">
        <v>2000</v>
      </c>
      <c r="G28" s="2"/>
      <c r="H28" s="124"/>
    </row>
    <row r="29" spans="1:8" ht="49.5" customHeight="1" x14ac:dyDescent="0.25">
      <c r="A29" s="126" t="s">
        <v>47</v>
      </c>
      <c r="B29" s="66" t="s">
        <v>420</v>
      </c>
      <c r="C29" s="2" t="s">
        <v>400</v>
      </c>
      <c r="D29" s="2" t="s">
        <v>72</v>
      </c>
      <c r="E29" s="2" t="s">
        <v>343</v>
      </c>
      <c r="F29" s="23">
        <v>10000</v>
      </c>
      <c r="G29" s="2"/>
      <c r="H29" s="279" t="s">
        <v>574</v>
      </c>
    </row>
    <row r="30" spans="1:8" ht="52.5" customHeight="1" x14ac:dyDescent="0.25">
      <c r="A30" s="126" t="s">
        <v>48</v>
      </c>
      <c r="B30" s="66" t="s">
        <v>35</v>
      </c>
      <c r="C30" s="2" t="s">
        <v>68</v>
      </c>
      <c r="D30" s="2" t="s">
        <v>77</v>
      </c>
      <c r="E30" s="2" t="s">
        <v>338</v>
      </c>
      <c r="F30" s="22">
        <v>20000</v>
      </c>
      <c r="G30" s="2" t="s">
        <v>514</v>
      </c>
      <c r="H30" s="279" t="s">
        <v>575</v>
      </c>
    </row>
    <row r="31" spans="1:8" ht="52.5" customHeight="1" x14ac:dyDescent="0.25">
      <c r="A31" s="126" t="s">
        <v>49</v>
      </c>
      <c r="B31" s="66" t="s">
        <v>36</v>
      </c>
      <c r="C31" s="2" t="s">
        <v>69</v>
      </c>
      <c r="D31" s="2" t="s">
        <v>72</v>
      </c>
      <c r="E31" s="2" t="s">
        <v>344</v>
      </c>
      <c r="F31" s="22">
        <v>20000</v>
      </c>
      <c r="G31" s="2"/>
      <c r="H31" s="279" t="s">
        <v>574</v>
      </c>
    </row>
    <row r="32" spans="1:8" ht="18" customHeight="1" x14ac:dyDescent="0.25">
      <c r="A32" s="121"/>
      <c r="B32" s="306" t="s">
        <v>15</v>
      </c>
      <c r="C32" s="307"/>
      <c r="D32" s="307"/>
      <c r="E32" s="307"/>
      <c r="F32" s="307"/>
      <c r="G32" s="307"/>
      <c r="H32" s="308"/>
    </row>
    <row r="33" spans="1:8" x14ac:dyDescent="0.25">
      <c r="A33" s="122"/>
      <c r="B33" s="93" t="s">
        <v>8</v>
      </c>
      <c r="C33" s="18"/>
      <c r="D33" s="18"/>
      <c r="E33" s="18"/>
      <c r="F33" s="18"/>
      <c r="G33" s="18"/>
      <c r="H33" s="127"/>
    </row>
    <row r="34" spans="1:8" ht="66" customHeight="1" x14ac:dyDescent="0.25">
      <c r="A34" s="115" t="s">
        <v>293</v>
      </c>
      <c r="B34" s="69" t="s">
        <v>401</v>
      </c>
      <c r="C34" s="2" t="s">
        <v>72</v>
      </c>
      <c r="D34" s="97"/>
      <c r="E34" s="97" t="s">
        <v>340</v>
      </c>
      <c r="F34" s="100">
        <v>100000</v>
      </c>
      <c r="G34" s="65"/>
      <c r="H34" s="279" t="s">
        <v>575</v>
      </c>
    </row>
    <row r="35" spans="1:8" ht="30" customHeight="1" x14ac:dyDescent="0.25">
      <c r="A35" s="115" t="s">
        <v>294</v>
      </c>
      <c r="B35" s="69" t="s">
        <v>346</v>
      </c>
      <c r="C35" s="2" t="s">
        <v>83</v>
      </c>
      <c r="D35" s="97"/>
      <c r="E35" s="97" t="s">
        <v>338</v>
      </c>
      <c r="F35" s="100">
        <v>50000</v>
      </c>
      <c r="G35" s="97"/>
      <c r="H35" s="279" t="s">
        <v>576</v>
      </c>
    </row>
    <row r="36" spans="1:8" ht="30" x14ac:dyDescent="0.25">
      <c r="A36" s="115" t="s">
        <v>295</v>
      </c>
      <c r="B36" s="69" t="s">
        <v>402</v>
      </c>
      <c r="C36" s="97" t="s">
        <v>72</v>
      </c>
      <c r="D36" s="2"/>
      <c r="E36" s="2" t="s">
        <v>345</v>
      </c>
      <c r="F36" s="22">
        <v>20000</v>
      </c>
      <c r="G36" s="70" t="s">
        <v>84</v>
      </c>
      <c r="H36" s="279" t="s">
        <v>576</v>
      </c>
    </row>
    <row r="37" spans="1:8" x14ac:dyDescent="0.25">
      <c r="A37" s="121"/>
      <c r="B37" s="306" t="s">
        <v>16</v>
      </c>
      <c r="C37" s="307"/>
      <c r="D37" s="307"/>
      <c r="E37" s="307"/>
      <c r="F37" s="307"/>
      <c r="G37" s="307"/>
      <c r="H37" s="308"/>
    </row>
    <row r="38" spans="1:8" x14ac:dyDescent="0.25">
      <c r="A38" s="128"/>
      <c r="B38" s="93" t="s">
        <v>8</v>
      </c>
      <c r="C38" s="18"/>
      <c r="D38" s="18"/>
      <c r="E38" s="18"/>
      <c r="F38" s="18"/>
      <c r="G38" s="18"/>
      <c r="H38" s="127"/>
    </row>
    <row r="39" spans="1:8" ht="52.5" customHeight="1" x14ac:dyDescent="0.25">
      <c r="A39" s="129" t="s">
        <v>17</v>
      </c>
      <c r="B39" s="2" t="s">
        <v>37</v>
      </c>
      <c r="C39" s="2" t="s">
        <v>62</v>
      </c>
      <c r="D39" s="97" t="s">
        <v>72</v>
      </c>
      <c r="E39" s="97" t="s">
        <v>75</v>
      </c>
      <c r="F39" s="101">
        <v>50000</v>
      </c>
      <c r="G39" s="65"/>
      <c r="H39" s="279" t="s">
        <v>577</v>
      </c>
    </row>
    <row r="40" spans="1:8" ht="45" x14ac:dyDescent="0.25">
      <c r="A40" s="262" t="s">
        <v>18</v>
      </c>
      <c r="B40" s="7" t="s">
        <v>347</v>
      </c>
      <c r="C40" s="97" t="s">
        <v>403</v>
      </c>
      <c r="D40" s="97" t="s">
        <v>72</v>
      </c>
      <c r="E40" s="2" t="s">
        <v>348</v>
      </c>
      <c r="F40" s="22">
        <v>20000</v>
      </c>
      <c r="G40" s="2" t="s">
        <v>349</v>
      </c>
      <c r="H40" s="279" t="s">
        <v>577</v>
      </c>
    </row>
    <row r="41" spans="1:8" ht="45" x14ac:dyDescent="0.25">
      <c r="A41" s="262" t="s">
        <v>19</v>
      </c>
      <c r="B41" s="2" t="s">
        <v>38</v>
      </c>
      <c r="C41" s="97" t="s">
        <v>70</v>
      </c>
      <c r="D41" s="2" t="s">
        <v>78</v>
      </c>
      <c r="E41" s="2" t="s">
        <v>340</v>
      </c>
      <c r="F41" s="22">
        <v>40000</v>
      </c>
      <c r="G41" s="2"/>
      <c r="H41" s="279"/>
    </row>
    <row r="42" spans="1:8" x14ac:dyDescent="0.25">
      <c r="A42" s="130"/>
      <c r="B42" s="306" t="s">
        <v>20</v>
      </c>
      <c r="C42" s="307"/>
      <c r="D42" s="307"/>
      <c r="E42" s="307"/>
      <c r="F42" s="307"/>
      <c r="G42" s="307"/>
      <c r="H42" s="308"/>
    </row>
    <row r="43" spans="1:8" x14ac:dyDescent="0.25">
      <c r="A43" s="128"/>
      <c r="B43" s="93" t="s">
        <v>21</v>
      </c>
      <c r="C43" s="18"/>
      <c r="D43" s="18" t="s">
        <v>6</v>
      </c>
      <c r="E43" s="19"/>
      <c r="F43" s="18"/>
      <c r="G43" s="18"/>
      <c r="H43" s="127"/>
    </row>
    <row r="44" spans="1:8" ht="90" x14ac:dyDescent="0.25">
      <c r="A44" s="129" t="s">
        <v>22</v>
      </c>
      <c r="B44" s="2" t="s">
        <v>39</v>
      </c>
      <c r="C44" s="2" t="s">
        <v>404</v>
      </c>
      <c r="D44" s="97" t="s">
        <v>58</v>
      </c>
      <c r="E44" s="104" t="s">
        <v>350</v>
      </c>
      <c r="F44" s="100">
        <v>60000</v>
      </c>
      <c r="G44" s="97" t="s">
        <v>58</v>
      </c>
      <c r="H44" s="279" t="s">
        <v>577</v>
      </c>
    </row>
    <row r="45" spans="1:8" ht="36.75" customHeight="1" x14ac:dyDescent="0.25">
      <c r="A45" s="115" t="s">
        <v>23</v>
      </c>
      <c r="B45" s="16" t="s">
        <v>40</v>
      </c>
      <c r="C45" s="2" t="s">
        <v>71</v>
      </c>
      <c r="D45" s="2" t="s">
        <v>59</v>
      </c>
      <c r="E45" s="2" t="s">
        <v>341</v>
      </c>
      <c r="F45" s="22">
        <v>2000</v>
      </c>
      <c r="G45" s="2"/>
      <c r="H45" s="279" t="s">
        <v>574</v>
      </c>
    </row>
    <row r="46" spans="1:8" ht="34.5" customHeight="1" x14ac:dyDescent="0.25">
      <c r="A46" s="115" t="s">
        <v>24</v>
      </c>
      <c r="B46" s="66" t="s">
        <v>41</v>
      </c>
      <c r="C46" s="2" t="s">
        <v>60</v>
      </c>
      <c r="D46" s="17" t="s">
        <v>79</v>
      </c>
      <c r="E46" s="17" t="s">
        <v>343</v>
      </c>
      <c r="F46" s="24">
        <v>15000</v>
      </c>
      <c r="G46" s="97" t="s">
        <v>58</v>
      </c>
      <c r="H46" s="279" t="s">
        <v>574</v>
      </c>
    </row>
    <row r="47" spans="1:8" ht="60" x14ac:dyDescent="0.25">
      <c r="A47" s="115" t="s">
        <v>25</v>
      </c>
      <c r="B47" s="66" t="s">
        <v>42</v>
      </c>
      <c r="C47" s="2" t="s">
        <v>515</v>
      </c>
      <c r="D47" s="66" t="s">
        <v>80</v>
      </c>
      <c r="E47" s="26" t="s">
        <v>353</v>
      </c>
      <c r="F47" s="87">
        <v>45000</v>
      </c>
      <c r="G47" s="66" t="s">
        <v>80</v>
      </c>
      <c r="H47" s="279" t="s">
        <v>574</v>
      </c>
    </row>
    <row r="48" spans="1:8" ht="50.25" customHeight="1" x14ac:dyDescent="0.25">
      <c r="A48" s="115" t="s">
        <v>50</v>
      </c>
      <c r="B48" s="66" t="s">
        <v>43</v>
      </c>
      <c r="C48" s="2" t="s">
        <v>61</v>
      </c>
      <c r="D48" s="66" t="s">
        <v>80</v>
      </c>
      <c r="E48" s="26" t="s">
        <v>351</v>
      </c>
      <c r="F48" s="27">
        <v>2000</v>
      </c>
      <c r="G48" s="66" t="s">
        <v>80</v>
      </c>
      <c r="H48" s="279" t="s">
        <v>574</v>
      </c>
    </row>
    <row r="49" spans="1:8" ht="135" x14ac:dyDescent="0.25">
      <c r="A49" s="115" t="s">
        <v>51</v>
      </c>
      <c r="B49" s="66" t="s">
        <v>612</v>
      </c>
      <c r="C49" s="17" t="s">
        <v>405</v>
      </c>
      <c r="D49" s="26" t="s">
        <v>72</v>
      </c>
      <c r="E49" s="26" t="s">
        <v>352</v>
      </c>
      <c r="F49" s="27">
        <v>60000</v>
      </c>
      <c r="G49" s="66" t="s">
        <v>72</v>
      </c>
      <c r="H49" s="279" t="s">
        <v>574</v>
      </c>
    </row>
    <row r="50" spans="1:8" ht="30" x14ac:dyDescent="0.25">
      <c r="A50" s="126" t="s">
        <v>52</v>
      </c>
      <c r="B50" s="66" t="s">
        <v>44</v>
      </c>
      <c r="C50" s="257" t="s">
        <v>406</v>
      </c>
      <c r="D50" s="26"/>
      <c r="E50" s="26" t="s">
        <v>352</v>
      </c>
      <c r="F50" s="27">
        <v>2000</v>
      </c>
      <c r="G50" s="6" t="s">
        <v>104</v>
      </c>
      <c r="H50" s="279" t="s">
        <v>574</v>
      </c>
    </row>
    <row r="51" spans="1:8" ht="112.5" customHeight="1" thickBot="1" x14ac:dyDescent="0.3">
      <c r="A51" s="131" t="s">
        <v>53</v>
      </c>
      <c r="B51" s="106" t="s">
        <v>516</v>
      </c>
      <c r="C51" s="107"/>
      <c r="D51" s="108" t="s">
        <v>81</v>
      </c>
      <c r="E51" s="108" t="s">
        <v>353</v>
      </c>
      <c r="F51" s="109">
        <v>50000</v>
      </c>
      <c r="G51" s="106" t="s">
        <v>82</v>
      </c>
      <c r="H51" s="132"/>
    </row>
    <row r="52" spans="1:8" ht="18.75" customHeight="1" thickBot="1" x14ac:dyDescent="0.3">
      <c r="A52" s="337" t="s">
        <v>578</v>
      </c>
      <c r="B52" s="338"/>
      <c r="C52" s="221"/>
      <c r="D52" s="221"/>
      <c r="E52" s="221"/>
      <c r="F52" s="222">
        <f>SUM(F11:F51)</f>
        <v>895700</v>
      </c>
      <c r="G52" s="221"/>
      <c r="H52" s="223"/>
    </row>
    <row r="53" spans="1:8" ht="15.75" thickBot="1" x14ac:dyDescent="0.3"/>
    <row r="54" spans="1:8" x14ac:dyDescent="0.25">
      <c r="A54" s="133"/>
      <c r="B54" s="302" t="s">
        <v>579</v>
      </c>
      <c r="C54" s="302"/>
      <c r="D54" s="302"/>
      <c r="E54" s="302"/>
      <c r="F54" s="302"/>
      <c r="G54" s="302"/>
      <c r="H54" s="303"/>
    </row>
    <row r="55" spans="1:8" x14ac:dyDescent="0.25">
      <c r="A55" s="116"/>
      <c r="B55" s="323" t="s">
        <v>85</v>
      </c>
      <c r="C55" s="324"/>
      <c r="D55" s="324"/>
      <c r="E55" s="324"/>
      <c r="F55" s="324"/>
      <c r="G55" s="324"/>
      <c r="H55" s="325"/>
    </row>
    <row r="56" spans="1:8" x14ac:dyDescent="0.25">
      <c r="A56" s="116"/>
      <c r="B56" s="29" t="s">
        <v>86</v>
      </c>
      <c r="C56" s="30"/>
      <c r="D56" s="31"/>
      <c r="E56" s="33" t="s">
        <v>340</v>
      </c>
      <c r="F56" s="109">
        <v>10000</v>
      </c>
      <c r="G56" s="32" t="s">
        <v>422</v>
      </c>
      <c r="H56" s="134"/>
    </row>
    <row r="57" spans="1:8" x14ac:dyDescent="0.25">
      <c r="A57" s="116"/>
      <c r="B57" s="29" t="s">
        <v>87</v>
      </c>
      <c r="C57" s="30"/>
      <c r="D57" s="30"/>
      <c r="E57" s="33" t="s">
        <v>340</v>
      </c>
      <c r="F57" s="109">
        <v>10000</v>
      </c>
      <c r="G57" s="32" t="s">
        <v>422</v>
      </c>
      <c r="H57" s="134"/>
    </row>
    <row r="58" spans="1:8" x14ac:dyDescent="0.25">
      <c r="A58" s="116"/>
      <c r="B58" s="29" t="s">
        <v>88</v>
      </c>
      <c r="C58" s="30"/>
      <c r="D58" s="30"/>
      <c r="E58" s="33" t="s">
        <v>340</v>
      </c>
      <c r="F58" s="109">
        <v>10000</v>
      </c>
      <c r="G58" s="32" t="s">
        <v>422</v>
      </c>
      <c r="H58" s="134"/>
    </row>
    <row r="59" spans="1:8" x14ac:dyDescent="0.25">
      <c r="A59" s="116"/>
      <c r="B59" s="83" t="s">
        <v>356</v>
      </c>
      <c r="C59" s="3"/>
      <c r="D59" s="3"/>
      <c r="E59" s="3" t="s">
        <v>340</v>
      </c>
      <c r="F59" s="109">
        <v>6000</v>
      </c>
      <c r="G59" s="6" t="s">
        <v>355</v>
      </c>
      <c r="H59" s="118"/>
    </row>
    <row r="60" spans="1:8" x14ac:dyDescent="0.25">
      <c r="A60" s="116"/>
      <c r="B60" s="323" t="s">
        <v>89</v>
      </c>
      <c r="C60" s="324"/>
      <c r="D60" s="324"/>
      <c r="E60" s="324"/>
      <c r="F60" s="324"/>
      <c r="G60" s="324"/>
      <c r="H60" s="325"/>
    </row>
    <row r="61" spans="1:8" x14ac:dyDescent="0.25">
      <c r="A61" s="116"/>
      <c r="B61" s="29" t="s">
        <v>90</v>
      </c>
      <c r="C61" s="33"/>
      <c r="D61" s="33"/>
      <c r="E61" s="33" t="s">
        <v>340</v>
      </c>
      <c r="F61" s="109">
        <v>30000</v>
      </c>
      <c r="G61" s="34"/>
      <c r="H61" s="120"/>
    </row>
    <row r="62" spans="1:8" x14ac:dyDescent="0.25">
      <c r="A62" s="119"/>
      <c r="B62" s="29" t="s">
        <v>91</v>
      </c>
      <c r="C62" s="33"/>
      <c r="D62" s="33"/>
      <c r="E62" s="33" t="s">
        <v>340</v>
      </c>
      <c r="F62" s="109">
        <v>30000</v>
      </c>
      <c r="G62" s="34"/>
      <c r="H62" s="120"/>
    </row>
    <row r="63" spans="1:8" x14ac:dyDescent="0.25">
      <c r="A63" s="119"/>
      <c r="B63" s="29" t="s">
        <v>92</v>
      </c>
      <c r="C63" s="33"/>
      <c r="D63" s="33"/>
      <c r="E63" s="33" t="s">
        <v>340</v>
      </c>
      <c r="F63" s="109">
        <v>28500</v>
      </c>
      <c r="G63" s="34"/>
      <c r="H63" s="120"/>
    </row>
    <row r="64" spans="1:8" x14ac:dyDescent="0.25">
      <c r="A64" s="135" t="s">
        <v>6</v>
      </c>
      <c r="B64" s="326" t="s">
        <v>580</v>
      </c>
      <c r="C64" s="326"/>
      <c r="D64" s="326"/>
      <c r="E64" s="326"/>
      <c r="F64" s="326"/>
      <c r="G64" s="326"/>
      <c r="H64" s="327"/>
    </row>
    <row r="65" spans="1:9" x14ac:dyDescent="0.25">
      <c r="A65" s="136">
        <v>2</v>
      </c>
      <c r="B65" s="298" t="s">
        <v>93</v>
      </c>
      <c r="C65" s="298"/>
      <c r="D65" s="298"/>
      <c r="E65" s="298"/>
      <c r="F65" s="298"/>
      <c r="G65" s="298"/>
      <c r="H65" s="299"/>
    </row>
    <row r="66" spans="1:9" x14ac:dyDescent="0.25">
      <c r="A66" s="137"/>
      <c r="B66" s="300" t="s">
        <v>296</v>
      </c>
      <c r="C66" s="300"/>
      <c r="D66" s="300"/>
      <c r="E66" s="300"/>
      <c r="F66" s="300"/>
      <c r="G66" s="300"/>
      <c r="H66" s="301"/>
    </row>
    <row r="67" spans="1:9" x14ac:dyDescent="0.25">
      <c r="A67" s="138"/>
      <c r="B67" s="304" t="s">
        <v>8</v>
      </c>
      <c r="C67" s="304"/>
      <c r="D67" s="304"/>
      <c r="E67" s="304"/>
      <c r="F67" s="304"/>
      <c r="G67" s="304"/>
      <c r="H67" s="305"/>
    </row>
    <row r="68" spans="1:9" x14ac:dyDescent="0.25">
      <c r="A68" s="136" t="s">
        <v>94</v>
      </c>
      <c r="B68" s="298" t="s">
        <v>95</v>
      </c>
      <c r="C68" s="298"/>
      <c r="D68" s="298"/>
      <c r="E68" s="298"/>
      <c r="F68" s="298"/>
      <c r="G68" s="298"/>
      <c r="H68" s="299"/>
    </row>
    <row r="69" spans="1:9" ht="80.25" customHeight="1" x14ac:dyDescent="0.25">
      <c r="A69" s="115" t="s">
        <v>96</v>
      </c>
      <c r="B69" s="35" t="s">
        <v>97</v>
      </c>
      <c r="C69" s="2" t="s">
        <v>423</v>
      </c>
      <c r="D69" s="2" t="s">
        <v>98</v>
      </c>
      <c r="E69" s="240" t="s">
        <v>271</v>
      </c>
      <c r="F69" s="109">
        <v>40000</v>
      </c>
      <c r="G69" s="71" t="s">
        <v>99</v>
      </c>
      <c r="H69" s="139" t="s">
        <v>581</v>
      </c>
    </row>
    <row r="70" spans="1:9" ht="45" x14ac:dyDescent="0.25">
      <c r="A70" s="115" t="s">
        <v>100</v>
      </c>
      <c r="B70" s="140" t="s">
        <v>517</v>
      </c>
      <c r="C70" s="2" t="s">
        <v>101</v>
      </c>
      <c r="D70" s="2" t="s">
        <v>102</v>
      </c>
      <c r="E70" s="240" t="s">
        <v>271</v>
      </c>
      <c r="F70" s="109">
        <v>90000</v>
      </c>
      <c r="G70" s="71"/>
      <c r="H70" s="280" t="s">
        <v>581</v>
      </c>
    </row>
    <row r="71" spans="1:9" ht="60" x14ac:dyDescent="0.25">
      <c r="A71" s="126" t="s">
        <v>103</v>
      </c>
      <c r="B71" s="2" t="s">
        <v>569</v>
      </c>
      <c r="C71" s="2" t="s">
        <v>424</v>
      </c>
      <c r="D71" s="2" t="s">
        <v>104</v>
      </c>
      <c r="E71" s="240" t="s">
        <v>271</v>
      </c>
      <c r="F71" s="109">
        <v>40000</v>
      </c>
      <c r="G71" s="71"/>
      <c r="H71" s="280" t="s">
        <v>581</v>
      </c>
    </row>
    <row r="72" spans="1:9" ht="105" x14ac:dyDescent="0.25">
      <c r="A72" s="230" t="s">
        <v>105</v>
      </c>
      <c r="B72" s="231" t="s">
        <v>518</v>
      </c>
      <c r="C72" s="231" t="s">
        <v>106</v>
      </c>
      <c r="D72" s="231" t="s">
        <v>98</v>
      </c>
      <c r="E72" s="241" t="s">
        <v>523</v>
      </c>
      <c r="F72" s="232">
        <v>150000</v>
      </c>
      <c r="G72" s="233" t="s">
        <v>107</v>
      </c>
      <c r="H72" s="280" t="s">
        <v>581</v>
      </c>
      <c r="I72" s="233" t="s">
        <v>610</v>
      </c>
    </row>
    <row r="73" spans="1:9" ht="30" x14ac:dyDescent="0.25">
      <c r="A73" s="141" t="s">
        <v>108</v>
      </c>
      <c r="B73" s="94" t="s">
        <v>109</v>
      </c>
      <c r="C73" s="94" t="s">
        <v>110</v>
      </c>
      <c r="D73" s="94" t="s">
        <v>104</v>
      </c>
      <c r="E73" s="240" t="s">
        <v>271</v>
      </c>
      <c r="F73" s="109">
        <v>15000</v>
      </c>
      <c r="G73" s="71"/>
      <c r="H73" s="280" t="s">
        <v>581</v>
      </c>
    </row>
    <row r="74" spans="1:9" ht="45" x14ac:dyDescent="0.25">
      <c r="A74" s="141" t="s">
        <v>111</v>
      </c>
      <c r="B74" s="94" t="s">
        <v>112</v>
      </c>
      <c r="C74" s="94" t="s">
        <v>113</v>
      </c>
      <c r="D74" s="94" t="s">
        <v>98</v>
      </c>
      <c r="E74" s="240" t="s">
        <v>523</v>
      </c>
      <c r="F74" s="109">
        <v>10000</v>
      </c>
      <c r="G74" s="72" t="s">
        <v>114</v>
      </c>
      <c r="H74" s="280" t="s">
        <v>581</v>
      </c>
    </row>
    <row r="75" spans="1:9" ht="90" x14ac:dyDescent="0.25">
      <c r="A75" s="142" t="s">
        <v>115</v>
      </c>
      <c r="B75" s="73" t="s">
        <v>116</v>
      </c>
      <c r="C75" s="94" t="s">
        <v>117</v>
      </c>
      <c r="D75" s="94" t="s">
        <v>118</v>
      </c>
      <c r="E75" s="240" t="s">
        <v>271</v>
      </c>
      <c r="F75" s="109">
        <v>25000</v>
      </c>
      <c r="G75" s="72"/>
      <c r="H75" s="280" t="s">
        <v>581</v>
      </c>
    </row>
    <row r="76" spans="1:9" ht="60" x14ac:dyDescent="0.25">
      <c r="A76" s="234" t="s">
        <v>119</v>
      </c>
      <c r="B76" s="235" t="s">
        <v>370</v>
      </c>
      <c r="C76" s="236" t="s">
        <v>120</v>
      </c>
      <c r="D76" s="236" t="s">
        <v>121</v>
      </c>
      <c r="E76" s="241" t="s">
        <v>524</v>
      </c>
      <c r="F76" s="232">
        <v>25000</v>
      </c>
      <c r="G76" s="233" t="s">
        <v>122</v>
      </c>
      <c r="H76" s="237"/>
      <c r="I76" s="233" t="s">
        <v>610</v>
      </c>
    </row>
    <row r="77" spans="1:9" ht="33" customHeight="1" x14ac:dyDescent="0.25">
      <c r="A77" s="137"/>
      <c r="B77" s="300" t="s">
        <v>336</v>
      </c>
      <c r="C77" s="300"/>
      <c r="D77" s="300"/>
      <c r="E77" s="300"/>
      <c r="F77" s="300"/>
      <c r="G77" s="300"/>
      <c r="H77" s="301"/>
    </row>
    <row r="78" spans="1:9" x14ac:dyDescent="0.25">
      <c r="A78" s="138"/>
      <c r="B78" s="304" t="s">
        <v>8</v>
      </c>
      <c r="C78" s="304"/>
      <c r="D78" s="304"/>
      <c r="E78" s="304"/>
      <c r="F78" s="304"/>
      <c r="G78" s="304"/>
      <c r="H78" s="305"/>
    </row>
    <row r="79" spans="1:9" x14ac:dyDescent="0.25">
      <c r="A79" s="136" t="s">
        <v>123</v>
      </c>
      <c r="B79" s="298" t="s">
        <v>124</v>
      </c>
      <c r="C79" s="298"/>
      <c r="D79" s="298"/>
      <c r="E79" s="298"/>
      <c r="F79" s="298"/>
      <c r="G79" s="298"/>
      <c r="H79" s="299"/>
    </row>
    <row r="80" spans="1:9" ht="45" x14ac:dyDescent="0.25">
      <c r="A80" s="143" t="s">
        <v>125</v>
      </c>
      <c r="B80" s="38" t="s">
        <v>126</v>
      </c>
      <c r="C80" s="38" t="s">
        <v>127</v>
      </c>
      <c r="D80" s="38" t="s">
        <v>104</v>
      </c>
      <c r="E80" s="242" t="s">
        <v>524</v>
      </c>
      <c r="F80" s="109">
        <v>10000</v>
      </c>
      <c r="G80" s="39" t="s">
        <v>128</v>
      </c>
      <c r="H80" s="280" t="s">
        <v>581</v>
      </c>
    </row>
    <row r="81" spans="1:8" ht="75" x14ac:dyDescent="0.25">
      <c r="A81" s="129" t="s">
        <v>129</v>
      </c>
      <c r="B81" s="2" t="s">
        <v>130</v>
      </c>
      <c r="C81" s="2" t="s">
        <v>131</v>
      </c>
      <c r="D81" s="2" t="s">
        <v>132</v>
      </c>
      <c r="E81" s="240" t="s">
        <v>523</v>
      </c>
      <c r="F81" s="109">
        <v>20000</v>
      </c>
      <c r="G81" s="259" t="s">
        <v>133</v>
      </c>
      <c r="H81" s="280" t="s">
        <v>582</v>
      </c>
    </row>
    <row r="82" spans="1:8" ht="60" x14ac:dyDescent="0.25">
      <c r="A82" s="144" t="s">
        <v>134</v>
      </c>
      <c r="B82" s="17" t="s">
        <v>135</v>
      </c>
      <c r="C82" s="40" t="s">
        <v>136</v>
      </c>
      <c r="D82" s="17" t="s">
        <v>104</v>
      </c>
      <c r="E82" s="243" t="s">
        <v>524</v>
      </c>
      <c r="F82" s="109">
        <v>0</v>
      </c>
      <c r="G82" s="273" t="s">
        <v>137</v>
      </c>
      <c r="H82" s="280" t="s">
        <v>582</v>
      </c>
    </row>
    <row r="83" spans="1:8" ht="90" x14ac:dyDescent="0.25">
      <c r="A83" s="145" t="s">
        <v>138</v>
      </c>
      <c r="B83" s="17" t="s">
        <v>139</v>
      </c>
      <c r="C83" s="17" t="s">
        <v>140</v>
      </c>
      <c r="D83" s="2" t="s">
        <v>132</v>
      </c>
      <c r="E83" s="243" t="s">
        <v>524</v>
      </c>
      <c r="F83" s="109">
        <v>25000</v>
      </c>
      <c r="G83" s="41"/>
      <c r="H83" s="280" t="s">
        <v>582</v>
      </c>
    </row>
    <row r="84" spans="1:8" ht="45" x14ac:dyDescent="0.25">
      <c r="A84" s="145" t="s">
        <v>141</v>
      </c>
      <c r="B84" s="17" t="s">
        <v>142</v>
      </c>
      <c r="C84" s="17" t="s">
        <v>143</v>
      </c>
      <c r="D84" s="2" t="s">
        <v>132</v>
      </c>
      <c r="E84" s="243" t="s">
        <v>524</v>
      </c>
      <c r="F84" s="109">
        <v>40000</v>
      </c>
      <c r="G84" s="41"/>
      <c r="H84" s="280" t="s">
        <v>582</v>
      </c>
    </row>
    <row r="85" spans="1:8" ht="90" x14ac:dyDescent="0.25">
      <c r="A85" s="263" t="s">
        <v>144</v>
      </c>
      <c r="B85" s="17" t="s">
        <v>145</v>
      </c>
      <c r="C85" s="17" t="s">
        <v>146</v>
      </c>
      <c r="D85" s="2" t="s">
        <v>132</v>
      </c>
      <c r="E85" s="238" t="s">
        <v>524</v>
      </c>
      <c r="F85" s="109">
        <v>25000</v>
      </c>
      <c r="G85" s="273" t="s">
        <v>147</v>
      </c>
      <c r="H85" s="280" t="s">
        <v>582</v>
      </c>
    </row>
    <row r="86" spans="1:8" x14ac:dyDescent="0.25">
      <c r="A86" s="137"/>
      <c r="B86" s="300" t="s">
        <v>148</v>
      </c>
      <c r="C86" s="300"/>
      <c r="D86" s="300"/>
      <c r="E86" s="300"/>
      <c r="F86" s="300"/>
      <c r="G86" s="300"/>
      <c r="H86" s="301"/>
    </row>
    <row r="87" spans="1:8" x14ac:dyDescent="0.25">
      <c r="A87" s="146"/>
      <c r="B87" s="304" t="s">
        <v>8</v>
      </c>
      <c r="C87" s="304"/>
      <c r="D87" s="304"/>
      <c r="E87" s="304"/>
      <c r="F87" s="304"/>
      <c r="G87" s="304"/>
      <c r="H87" s="305"/>
    </row>
    <row r="88" spans="1:8" x14ac:dyDescent="0.25">
      <c r="A88" s="147" t="s">
        <v>149</v>
      </c>
      <c r="B88" s="2" t="s">
        <v>150</v>
      </c>
      <c r="C88" s="2" t="s">
        <v>151</v>
      </c>
      <c r="D88" s="2" t="s">
        <v>104</v>
      </c>
      <c r="E88" s="36" t="s">
        <v>523</v>
      </c>
      <c r="F88" s="109">
        <v>15000</v>
      </c>
      <c r="G88" s="37"/>
      <c r="H88" s="148"/>
    </row>
    <row r="89" spans="1:8" ht="45" x14ac:dyDescent="0.25">
      <c r="A89" s="149" t="s">
        <v>152</v>
      </c>
      <c r="B89" s="42" t="s">
        <v>153</v>
      </c>
      <c r="C89" s="42" t="s">
        <v>154</v>
      </c>
      <c r="D89" s="42" t="s">
        <v>132</v>
      </c>
      <c r="E89" s="244" t="s">
        <v>525</v>
      </c>
      <c r="F89" s="109">
        <v>80000</v>
      </c>
      <c r="G89" s="275" t="s">
        <v>155</v>
      </c>
      <c r="H89" s="280" t="s">
        <v>582</v>
      </c>
    </row>
    <row r="90" spans="1:8" ht="45" x14ac:dyDescent="0.25">
      <c r="A90" s="147" t="s">
        <v>156</v>
      </c>
      <c r="B90" s="2" t="s">
        <v>157</v>
      </c>
      <c r="C90" s="2" t="s">
        <v>158</v>
      </c>
      <c r="D90" s="2" t="s">
        <v>104</v>
      </c>
      <c r="E90" s="240" t="s">
        <v>526</v>
      </c>
      <c r="F90" s="109">
        <v>20000</v>
      </c>
      <c r="G90" s="276" t="s">
        <v>371</v>
      </c>
      <c r="H90" s="280" t="s">
        <v>582</v>
      </c>
    </row>
    <row r="91" spans="1:8" ht="45" x14ac:dyDescent="0.25">
      <c r="A91" s="129" t="s">
        <v>159</v>
      </c>
      <c r="B91" s="2" t="s">
        <v>160</v>
      </c>
      <c r="C91" s="2" t="s">
        <v>161</v>
      </c>
      <c r="D91" s="2" t="s">
        <v>104</v>
      </c>
      <c r="E91" s="240" t="s">
        <v>524</v>
      </c>
      <c r="F91" s="109">
        <v>18000</v>
      </c>
      <c r="G91" s="276" t="s">
        <v>162</v>
      </c>
      <c r="H91" s="280" t="s">
        <v>582</v>
      </c>
    </row>
    <row r="92" spans="1:8" ht="30" x14ac:dyDescent="0.25">
      <c r="A92" s="129" t="s">
        <v>163</v>
      </c>
      <c r="B92" s="2" t="s">
        <v>164</v>
      </c>
      <c r="C92" s="102" t="s">
        <v>165</v>
      </c>
      <c r="D92" s="2" t="s">
        <v>104</v>
      </c>
      <c r="E92" s="240" t="s">
        <v>524</v>
      </c>
      <c r="F92" s="109">
        <v>60000</v>
      </c>
      <c r="G92" s="74" t="s">
        <v>166</v>
      </c>
      <c r="H92" s="280" t="s">
        <v>582</v>
      </c>
    </row>
    <row r="93" spans="1:8" ht="60" x14ac:dyDescent="0.25">
      <c r="A93" s="151" t="s">
        <v>167</v>
      </c>
      <c r="B93" s="76" t="s">
        <v>168</v>
      </c>
      <c r="C93" s="76" t="s">
        <v>372</v>
      </c>
      <c r="D93" s="76" t="s">
        <v>104</v>
      </c>
      <c r="E93" s="245" t="s">
        <v>524</v>
      </c>
      <c r="F93" s="109">
        <v>30000</v>
      </c>
      <c r="G93" s="77" t="s">
        <v>169</v>
      </c>
      <c r="H93" s="280" t="s">
        <v>582</v>
      </c>
    </row>
    <row r="94" spans="1:8" ht="45" x14ac:dyDescent="0.25">
      <c r="A94" s="264" t="s">
        <v>170</v>
      </c>
      <c r="B94" s="76" t="s">
        <v>171</v>
      </c>
      <c r="C94" s="76" t="s">
        <v>373</v>
      </c>
      <c r="D94" s="88" t="s">
        <v>132</v>
      </c>
      <c r="E94" s="239" t="s">
        <v>524</v>
      </c>
      <c r="F94" s="109">
        <v>20000</v>
      </c>
      <c r="G94" s="89" t="s">
        <v>172</v>
      </c>
      <c r="H94" s="152"/>
    </row>
    <row r="95" spans="1:8" x14ac:dyDescent="0.25">
      <c r="A95" s="137"/>
      <c r="B95" s="300" t="s">
        <v>297</v>
      </c>
      <c r="C95" s="300"/>
      <c r="D95" s="300"/>
      <c r="E95" s="300"/>
      <c r="F95" s="300"/>
      <c r="G95" s="300"/>
      <c r="H95" s="301"/>
    </row>
    <row r="96" spans="1:8" x14ac:dyDescent="0.25">
      <c r="A96" s="146"/>
      <c r="B96" s="304" t="s">
        <v>21</v>
      </c>
      <c r="C96" s="304"/>
      <c r="D96" s="304"/>
      <c r="E96" s="304"/>
      <c r="F96" s="304"/>
      <c r="G96" s="341"/>
      <c r="H96" s="342"/>
    </row>
    <row r="97" spans="1:10" ht="75" x14ac:dyDescent="0.25">
      <c r="A97" s="115" t="s">
        <v>173</v>
      </c>
      <c r="B97" s="2" t="s">
        <v>174</v>
      </c>
      <c r="C97" s="2" t="s">
        <v>175</v>
      </c>
      <c r="D97" s="2" t="s">
        <v>176</v>
      </c>
      <c r="E97" s="240" t="s">
        <v>524</v>
      </c>
      <c r="F97" s="109">
        <v>5000</v>
      </c>
      <c r="G97" s="274"/>
      <c r="H97" s="280" t="s">
        <v>583</v>
      </c>
    </row>
    <row r="98" spans="1:10" ht="60" x14ac:dyDescent="0.25">
      <c r="A98" s="153" t="s">
        <v>177</v>
      </c>
      <c r="B98" s="249" t="s">
        <v>425</v>
      </c>
      <c r="C98" s="2" t="s">
        <v>178</v>
      </c>
      <c r="D98" s="2" t="s">
        <v>179</v>
      </c>
      <c r="E98" s="240" t="s">
        <v>524</v>
      </c>
      <c r="F98" s="109">
        <v>315000</v>
      </c>
      <c r="G98" s="274" t="s">
        <v>180</v>
      </c>
      <c r="H98" s="280" t="s">
        <v>584</v>
      </c>
    </row>
    <row r="99" spans="1:10" ht="45.75" thickBot="1" x14ac:dyDescent="0.3">
      <c r="A99" s="225" t="s">
        <v>181</v>
      </c>
      <c r="B99" s="38" t="s">
        <v>182</v>
      </c>
      <c r="C99" s="38" t="s">
        <v>146</v>
      </c>
      <c r="D99" s="38" t="s">
        <v>179</v>
      </c>
      <c r="E99" s="242" t="s">
        <v>524</v>
      </c>
      <c r="F99" s="109">
        <v>15000</v>
      </c>
      <c r="G99" s="277" t="s">
        <v>374</v>
      </c>
      <c r="H99" s="280" t="s">
        <v>582</v>
      </c>
      <c r="J99" s="150"/>
    </row>
    <row r="100" spans="1:10" ht="20.25" customHeight="1" thickBot="1" x14ac:dyDescent="0.3">
      <c r="A100" s="337" t="s">
        <v>585</v>
      </c>
      <c r="B100" s="338"/>
      <c r="C100" s="221"/>
      <c r="D100" s="221"/>
      <c r="E100" s="221"/>
      <c r="F100" s="222">
        <f>SUM(F56:F99)-F72-F76</f>
        <v>1042500</v>
      </c>
      <c r="G100" s="223"/>
      <c r="H100" s="224"/>
    </row>
    <row r="101" spans="1:10" ht="15.75" thickBot="1" x14ac:dyDescent="0.3"/>
    <row r="102" spans="1:10" x14ac:dyDescent="0.25">
      <c r="A102" s="156"/>
      <c r="B102" s="302" t="s">
        <v>586</v>
      </c>
      <c r="C102" s="302"/>
      <c r="D102" s="302"/>
      <c r="E102" s="302"/>
      <c r="F102" s="302"/>
      <c r="G102" s="302"/>
      <c r="H102" s="303"/>
    </row>
    <row r="103" spans="1:10" x14ac:dyDescent="0.25">
      <c r="A103" s="157"/>
      <c r="B103" s="79" t="s">
        <v>183</v>
      </c>
      <c r="C103" s="78"/>
      <c r="D103" s="78"/>
      <c r="E103" s="78"/>
      <c r="F103" s="78"/>
      <c r="G103" s="80"/>
      <c r="H103" s="158"/>
    </row>
    <row r="104" spans="1:10" x14ac:dyDescent="0.25">
      <c r="A104" s="157"/>
      <c r="B104" s="78" t="s">
        <v>86</v>
      </c>
      <c r="C104" s="78"/>
      <c r="D104" s="78"/>
      <c r="E104" s="78" t="s">
        <v>340</v>
      </c>
      <c r="F104" s="81">
        <v>25000</v>
      </c>
      <c r="G104" s="80" t="s">
        <v>426</v>
      </c>
      <c r="H104" s="158"/>
    </row>
    <row r="105" spans="1:10" x14ac:dyDescent="0.25">
      <c r="A105" s="157"/>
      <c r="B105" s="78" t="s">
        <v>357</v>
      </c>
      <c r="C105" s="78"/>
      <c r="D105" s="78"/>
      <c r="E105" s="78" t="s">
        <v>340</v>
      </c>
      <c r="F105" s="81">
        <v>6000</v>
      </c>
      <c r="G105" s="80" t="s">
        <v>355</v>
      </c>
      <c r="H105" s="158"/>
    </row>
    <row r="106" spans="1:10" x14ac:dyDescent="0.25">
      <c r="A106" s="157"/>
      <c r="B106" s="78" t="s">
        <v>88</v>
      </c>
      <c r="C106" s="78"/>
      <c r="D106" s="78"/>
      <c r="E106" s="78" t="s">
        <v>340</v>
      </c>
      <c r="F106" s="81">
        <v>5040</v>
      </c>
      <c r="G106" s="105" t="s">
        <v>427</v>
      </c>
      <c r="H106" s="158"/>
    </row>
    <row r="107" spans="1:10" x14ac:dyDescent="0.25">
      <c r="A107" s="116"/>
      <c r="B107" s="83" t="s">
        <v>356</v>
      </c>
      <c r="C107" s="103"/>
      <c r="D107" s="103"/>
      <c r="E107" s="78" t="s">
        <v>340</v>
      </c>
      <c r="F107" s="81">
        <v>6000</v>
      </c>
      <c r="G107" s="80" t="s">
        <v>355</v>
      </c>
      <c r="H107" s="159"/>
    </row>
    <row r="108" spans="1:10" x14ac:dyDescent="0.25">
      <c r="A108" s="157"/>
      <c r="B108" s="79" t="s">
        <v>89</v>
      </c>
      <c r="C108" s="78"/>
      <c r="D108" s="78"/>
      <c r="E108" s="78"/>
      <c r="F108" s="78"/>
      <c r="G108" s="80"/>
      <c r="H108" s="158"/>
    </row>
    <row r="109" spans="1:10" x14ac:dyDescent="0.25">
      <c r="A109" s="157"/>
      <c r="B109" s="154" t="s">
        <v>428</v>
      </c>
      <c r="C109" s="78"/>
      <c r="D109" s="78"/>
      <c r="E109" s="78" t="s">
        <v>340</v>
      </c>
      <c r="F109" s="81">
        <v>21600</v>
      </c>
      <c r="G109" s="80"/>
      <c r="H109" s="158"/>
    </row>
    <row r="110" spans="1:10" x14ac:dyDescent="0.25">
      <c r="A110" s="157"/>
      <c r="B110" s="154" t="s">
        <v>429</v>
      </c>
      <c r="C110" s="78"/>
      <c r="D110" s="78"/>
      <c r="E110" s="78" t="s">
        <v>340</v>
      </c>
      <c r="F110" s="81">
        <v>21600</v>
      </c>
      <c r="G110" s="80"/>
      <c r="H110" s="158"/>
    </row>
    <row r="111" spans="1:10" x14ac:dyDescent="0.25">
      <c r="A111" s="157"/>
      <c r="B111" s="154" t="s">
        <v>430</v>
      </c>
      <c r="C111" s="78"/>
      <c r="D111" s="78"/>
      <c r="E111" s="78" t="s">
        <v>340</v>
      </c>
      <c r="F111" s="81">
        <v>21600</v>
      </c>
      <c r="G111" s="80"/>
      <c r="H111" s="158"/>
    </row>
    <row r="112" spans="1:10" x14ac:dyDescent="0.25">
      <c r="A112" s="160"/>
      <c r="B112" s="46" t="s">
        <v>184</v>
      </c>
      <c r="C112" s="44"/>
      <c r="D112" s="44"/>
      <c r="E112" s="78" t="s">
        <v>340</v>
      </c>
      <c r="F112" s="55">
        <v>5000</v>
      </c>
      <c r="G112" s="47"/>
      <c r="H112" s="161"/>
    </row>
    <row r="113" spans="1:10" x14ac:dyDescent="0.25">
      <c r="A113" s="162" t="s">
        <v>6</v>
      </c>
      <c r="B113" s="312" t="s">
        <v>587</v>
      </c>
      <c r="C113" s="312"/>
      <c r="D113" s="312"/>
      <c r="E113" s="312"/>
      <c r="F113" s="312"/>
      <c r="G113" s="312"/>
      <c r="H113" s="313"/>
    </row>
    <row r="114" spans="1:10" x14ac:dyDescent="0.25">
      <c r="A114" s="163"/>
      <c r="B114" s="298"/>
      <c r="C114" s="298"/>
      <c r="D114" s="298"/>
      <c r="E114" s="298"/>
      <c r="F114" s="298"/>
      <c r="G114" s="298"/>
      <c r="H114" s="299"/>
    </row>
    <row r="115" spans="1:10" ht="33" customHeight="1" x14ac:dyDescent="0.25">
      <c r="A115" s="164"/>
      <c r="B115" s="300" t="s">
        <v>298</v>
      </c>
      <c r="C115" s="300"/>
      <c r="D115" s="300"/>
      <c r="E115" s="300"/>
      <c r="F115" s="300"/>
      <c r="G115" s="300"/>
      <c r="H115" s="301"/>
    </row>
    <row r="116" spans="1:10" x14ac:dyDescent="0.25">
      <c r="A116" s="165"/>
      <c r="B116" s="304" t="s">
        <v>8</v>
      </c>
      <c r="C116" s="304"/>
      <c r="D116" s="304"/>
      <c r="E116" s="304"/>
      <c r="F116" s="304"/>
      <c r="G116" s="304"/>
      <c r="H116" s="305"/>
      <c r="J116" s="25"/>
    </row>
    <row r="117" spans="1:10" s="25" customFormat="1" ht="30" x14ac:dyDescent="0.25">
      <c r="A117" s="163" t="s">
        <v>299</v>
      </c>
      <c r="B117" s="66" t="s">
        <v>185</v>
      </c>
      <c r="C117" s="44" t="s">
        <v>186</v>
      </c>
      <c r="D117" s="44" t="s">
        <v>187</v>
      </c>
      <c r="E117" s="44" t="s">
        <v>340</v>
      </c>
      <c r="F117" s="82">
        <v>65000</v>
      </c>
      <c r="G117" s="47"/>
      <c r="H117" s="161" t="s">
        <v>588</v>
      </c>
    </row>
    <row r="118" spans="1:10" s="25" customFormat="1" ht="45" x14ac:dyDescent="0.25">
      <c r="A118" s="163" t="s">
        <v>300</v>
      </c>
      <c r="B118" s="66" t="s">
        <v>188</v>
      </c>
      <c r="C118" s="44" t="s">
        <v>189</v>
      </c>
      <c r="D118" s="44" t="s">
        <v>187</v>
      </c>
      <c r="E118" s="44" t="s">
        <v>340</v>
      </c>
      <c r="F118" s="82">
        <v>120000</v>
      </c>
      <c r="G118" s="47" t="s">
        <v>190</v>
      </c>
      <c r="H118" s="281" t="s">
        <v>588</v>
      </c>
    </row>
    <row r="119" spans="1:10" s="25" customFormat="1" ht="60" x14ac:dyDescent="0.25">
      <c r="A119" s="163" t="s">
        <v>301</v>
      </c>
      <c r="B119" s="62" t="s">
        <v>191</v>
      </c>
      <c r="C119" s="44" t="s">
        <v>192</v>
      </c>
      <c r="D119" s="44" t="s">
        <v>187</v>
      </c>
      <c r="E119" s="44" t="s">
        <v>340</v>
      </c>
      <c r="F119" s="55">
        <v>100000</v>
      </c>
      <c r="G119" s="47" t="s">
        <v>193</v>
      </c>
      <c r="H119" s="281" t="s">
        <v>588</v>
      </c>
      <c r="J119"/>
    </row>
    <row r="120" spans="1:10" ht="75" x14ac:dyDescent="0.25">
      <c r="A120" s="163" t="s">
        <v>303</v>
      </c>
      <c r="B120" s="54" t="s">
        <v>194</v>
      </c>
      <c r="C120" s="44" t="s">
        <v>195</v>
      </c>
      <c r="D120" s="44" t="s">
        <v>196</v>
      </c>
      <c r="E120" s="44" t="s">
        <v>340</v>
      </c>
      <c r="F120" s="55">
        <v>20000</v>
      </c>
      <c r="G120" s="47" t="s">
        <v>302</v>
      </c>
      <c r="H120" s="281" t="s">
        <v>588</v>
      </c>
    </row>
    <row r="121" spans="1:10" ht="45" x14ac:dyDescent="0.25">
      <c r="A121" s="163" t="s">
        <v>304</v>
      </c>
      <c r="B121" s="54" t="s">
        <v>197</v>
      </c>
      <c r="C121" s="44" t="s">
        <v>407</v>
      </c>
      <c r="D121" s="44" t="s">
        <v>198</v>
      </c>
      <c r="E121" s="67" t="s">
        <v>238</v>
      </c>
      <c r="F121" s="55">
        <v>5000</v>
      </c>
      <c r="G121" s="47" t="s">
        <v>199</v>
      </c>
      <c r="H121" s="281" t="s">
        <v>588</v>
      </c>
    </row>
    <row r="122" spans="1:10" ht="45" x14ac:dyDescent="0.25">
      <c r="A122" s="163" t="s">
        <v>305</v>
      </c>
      <c r="B122" s="54" t="s">
        <v>408</v>
      </c>
      <c r="C122" s="44" t="s">
        <v>200</v>
      </c>
      <c r="D122" s="44" t="s">
        <v>198</v>
      </c>
      <c r="E122" s="44" t="s">
        <v>201</v>
      </c>
      <c r="F122" s="55">
        <v>30000</v>
      </c>
      <c r="G122" s="47" t="s">
        <v>202</v>
      </c>
      <c r="H122" s="281" t="s">
        <v>588</v>
      </c>
    </row>
    <row r="123" spans="1:10" ht="45" x14ac:dyDescent="0.25">
      <c r="A123" s="163" t="s">
        <v>306</v>
      </c>
      <c r="B123" s="54" t="s">
        <v>203</v>
      </c>
      <c r="C123" s="44" t="s">
        <v>204</v>
      </c>
      <c r="D123" s="44" t="s">
        <v>205</v>
      </c>
      <c r="E123" s="44" t="s">
        <v>340</v>
      </c>
      <c r="F123" s="55">
        <v>20000</v>
      </c>
      <c r="G123" s="47" t="s">
        <v>202</v>
      </c>
      <c r="H123" s="281" t="s">
        <v>588</v>
      </c>
    </row>
    <row r="124" spans="1:10" ht="45" x14ac:dyDescent="0.25">
      <c r="A124" s="163" t="s">
        <v>307</v>
      </c>
      <c r="B124" s="54" t="s">
        <v>206</v>
      </c>
      <c r="C124" s="44" t="s">
        <v>207</v>
      </c>
      <c r="D124" s="44" t="s">
        <v>187</v>
      </c>
      <c r="E124" s="44" t="s">
        <v>340</v>
      </c>
      <c r="F124" s="55">
        <v>20000</v>
      </c>
      <c r="G124" s="47" t="s">
        <v>199</v>
      </c>
      <c r="H124" s="281" t="s">
        <v>588</v>
      </c>
    </row>
    <row r="125" spans="1:10" ht="45" x14ac:dyDescent="0.25">
      <c r="A125" s="163" t="s">
        <v>308</v>
      </c>
      <c r="B125" s="54" t="s">
        <v>210</v>
      </c>
      <c r="C125" s="44" t="s">
        <v>211</v>
      </c>
      <c r="D125" s="44" t="s">
        <v>360</v>
      </c>
      <c r="E125" s="44" t="s">
        <v>340</v>
      </c>
      <c r="F125" s="55">
        <v>5000</v>
      </c>
      <c r="G125" s="47" t="s">
        <v>212</v>
      </c>
      <c r="H125" s="281" t="s">
        <v>588</v>
      </c>
    </row>
    <row r="126" spans="1:10" ht="45" x14ac:dyDescent="0.25">
      <c r="A126" s="163" t="s">
        <v>309</v>
      </c>
      <c r="B126" s="54" t="s">
        <v>213</v>
      </c>
      <c r="C126" s="44" t="s">
        <v>211</v>
      </c>
      <c r="D126" s="44" t="s">
        <v>214</v>
      </c>
      <c r="E126" s="44" t="s">
        <v>340</v>
      </c>
      <c r="F126" s="55">
        <v>15000</v>
      </c>
      <c r="G126" s="47" t="s">
        <v>215</v>
      </c>
      <c r="H126" s="281" t="s">
        <v>588</v>
      </c>
    </row>
    <row r="127" spans="1:10" s="228" customFormat="1" ht="45" x14ac:dyDescent="0.25">
      <c r="A127" s="163" t="s">
        <v>512</v>
      </c>
      <c r="B127" s="54" t="s">
        <v>513</v>
      </c>
      <c r="C127" s="44" t="s">
        <v>528</v>
      </c>
      <c r="D127" s="44" t="s">
        <v>529</v>
      </c>
      <c r="E127" s="44" t="s">
        <v>530</v>
      </c>
      <c r="F127" s="55">
        <v>75000</v>
      </c>
      <c r="G127" s="47" t="s">
        <v>215</v>
      </c>
      <c r="H127" s="281" t="s">
        <v>588</v>
      </c>
    </row>
    <row r="128" spans="1:10" ht="37.5" customHeight="1" x14ac:dyDescent="0.25">
      <c r="A128" s="164"/>
      <c r="B128" s="300" t="s">
        <v>310</v>
      </c>
      <c r="C128" s="300"/>
      <c r="D128" s="300"/>
      <c r="E128" s="300"/>
      <c r="F128" s="300"/>
      <c r="G128" s="300"/>
      <c r="H128" s="301"/>
    </row>
    <row r="129" spans="1:8" x14ac:dyDescent="0.25">
      <c r="A129" s="165"/>
      <c r="B129" s="304" t="s">
        <v>8</v>
      </c>
      <c r="C129" s="304"/>
      <c r="D129" s="304"/>
      <c r="E129" s="304"/>
      <c r="F129" s="304"/>
      <c r="G129" s="304"/>
      <c r="H129" s="305"/>
    </row>
    <row r="130" spans="1:8" ht="78" customHeight="1" x14ac:dyDescent="0.25">
      <c r="A130" s="166" t="s">
        <v>311</v>
      </c>
      <c r="B130" s="44" t="s">
        <v>362</v>
      </c>
      <c r="C130" s="44" t="s">
        <v>361</v>
      </c>
      <c r="D130" s="44" t="s">
        <v>216</v>
      </c>
      <c r="E130" s="44" t="s">
        <v>217</v>
      </c>
      <c r="F130" s="57">
        <v>15000</v>
      </c>
      <c r="G130" s="47" t="s">
        <v>363</v>
      </c>
      <c r="H130" s="281" t="s">
        <v>589</v>
      </c>
    </row>
    <row r="131" spans="1:8" ht="33" customHeight="1" x14ac:dyDescent="0.25">
      <c r="A131" s="166" t="s">
        <v>312</v>
      </c>
      <c r="B131" s="44" t="s">
        <v>218</v>
      </c>
      <c r="C131" s="44" t="s">
        <v>219</v>
      </c>
      <c r="D131" s="44" t="s">
        <v>187</v>
      </c>
      <c r="E131" s="44" t="s">
        <v>217</v>
      </c>
      <c r="F131" s="57">
        <v>1000</v>
      </c>
      <c r="G131" s="47"/>
      <c r="H131" s="281" t="s">
        <v>589</v>
      </c>
    </row>
    <row r="132" spans="1:8" ht="46.5" customHeight="1" x14ac:dyDescent="0.25">
      <c r="A132" s="164"/>
      <c r="B132" s="300" t="s">
        <v>313</v>
      </c>
      <c r="C132" s="300"/>
      <c r="D132" s="300"/>
      <c r="E132" s="300"/>
      <c r="F132" s="300"/>
      <c r="G132" s="300"/>
      <c r="H132" s="301"/>
    </row>
    <row r="133" spans="1:8" x14ac:dyDescent="0.25">
      <c r="A133" s="165"/>
      <c r="B133" s="304" t="s">
        <v>8</v>
      </c>
      <c r="C133" s="304"/>
      <c r="D133" s="304"/>
      <c r="E133" s="304"/>
      <c r="F133" s="304"/>
      <c r="G133" s="304"/>
      <c r="H133" s="305"/>
    </row>
    <row r="134" spans="1:8" ht="45" x14ac:dyDescent="0.25">
      <c r="A134" s="167" t="s">
        <v>314</v>
      </c>
      <c r="B134" s="44" t="s">
        <v>220</v>
      </c>
      <c r="C134" s="44" t="s">
        <v>221</v>
      </c>
      <c r="D134" s="44" t="s">
        <v>222</v>
      </c>
      <c r="E134" s="247" t="s">
        <v>533</v>
      </c>
      <c r="F134" s="55">
        <v>500</v>
      </c>
      <c r="G134" s="47" t="s">
        <v>223</v>
      </c>
      <c r="H134" s="281" t="s">
        <v>590</v>
      </c>
    </row>
    <row r="135" spans="1:8" ht="45" x14ac:dyDescent="0.25">
      <c r="A135" s="167" t="s">
        <v>315</v>
      </c>
      <c r="B135" s="44" t="s">
        <v>224</v>
      </c>
      <c r="C135" s="44" t="s">
        <v>225</v>
      </c>
      <c r="D135" s="44" t="s">
        <v>226</v>
      </c>
      <c r="E135" s="247" t="s">
        <v>532</v>
      </c>
      <c r="F135" s="55">
        <v>5000</v>
      </c>
      <c r="G135" s="47" t="s">
        <v>227</v>
      </c>
      <c r="H135" s="281" t="s">
        <v>590</v>
      </c>
    </row>
    <row r="136" spans="1:8" ht="30" x14ac:dyDescent="0.25">
      <c r="A136" s="163" t="s">
        <v>359</v>
      </c>
      <c r="B136" s="54" t="s">
        <v>208</v>
      </c>
      <c r="C136" s="44" t="s">
        <v>209</v>
      </c>
      <c r="D136" s="44" t="s">
        <v>187</v>
      </c>
      <c r="E136" s="229" t="s">
        <v>340</v>
      </c>
      <c r="F136" s="55">
        <v>500</v>
      </c>
      <c r="G136" s="47"/>
      <c r="H136" s="281" t="s">
        <v>590</v>
      </c>
    </row>
    <row r="137" spans="1:8" ht="60" x14ac:dyDescent="0.25">
      <c r="A137" s="167" t="s">
        <v>316</v>
      </c>
      <c r="B137" s="44" t="s">
        <v>228</v>
      </c>
      <c r="C137" s="44" t="s">
        <v>229</v>
      </c>
      <c r="D137" s="44" t="s">
        <v>226</v>
      </c>
      <c r="E137" s="229" t="s">
        <v>340</v>
      </c>
      <c r="F137" s="55">
        <v>20000</v>
      </c>
      <c r="G137" s="47" t="s">
        <v>230</v>
      </c>
      <c r="H137" s="281" t="s">
        <v>590</v>
      </c>
    </row>
    <row r="138" spans="1:8" ht="30" x14ac:dyDescent="0.25">
      <c r="A138" s="167" t="s">
        <v>317</v>
      </c>
      <c r="B138" s="44" t="s">
        <v>231</v>
      </c>
      <c r="C138" s="44" t="s">
        <v>232</v>
      </c>
      <c r="D138" s="44" t="s">
        <v>233</v>
      </c>
      <c r="E138" s="247" t="s">
        <v>511</v>
      </c>
      <c r="F138" s="55">
        <v>5000</v>
      </c>
      <c r="G138" s="47"/>
      <c r="H138" s="281" t="s">
        <v>590</v>
      </c>
    </row>
    <row r="139" spans="1:8" ht="60" x14ac:dyDescent="0.25">
      <c r="A139" s="167" t="s">
        <v>318</v>
      </c>
      <c r="B139" s="44" t="s">
        <v>234</v>
      </c>
      <c r="C139" s="44" t="s">
        <v>235</v>
      </c>
      <c r="D139" s="44" t="s">
        <v>226</v>
      </c>
      <c r="E139" s="247" t="s">
        <v>532</v>
      </c>
      <c r="F139" s="55">
        <v>50000</v>
      </c>
      <c r="G139" s="47" t="s">
        <v>236</v>
      </c>
      <c r="H139" s="281" t="s">
        <v>590</v>
      </c>
    </row>
    <row r="140" spans="1:8" ht="45" x14ac:dyDescent="0.25">
      <c r="A140" s="167" t="s">
        <v>319</v>
      </c>
      <c r="B140" s="44" t="s">
        <v>237</v>
      </c>
      <c r="C140" s="44" t="s">
        <v>409</v>
      </c>
      <c r="D140" s="44" t="s">
        <v>226</v>
      </c>
      <c r="E140" s="247" t="s">
        <v>522</v>
      </c>
      <c r="F140" s="55">
        <v>5000</v>
      </c>
      <c r="G140" s="47" t="s">
        <v>239</v>
      </c>
      <c r="H140" s="281" t="s">
        <v>591</v>
      </c>
    </row>
    <row r="141" spans="1:8" ht="30" x14ac:dyDescent="0.25">
      <c r="A141" s="167" t="s">
        <v>320</v>
      </c>
      <c r="B141" s="44" t="s">
        <v>240</v>
      </c>
      <c r="C141" s="44" t="s">
        <v>241</v>
      </c>
      <c r="D141" s="44" t="s">
        <v>226</v>
      </c>
      <c r="E141" s="247" t="s">
        <v>531</v>
      </c>
      <c r="F141" s="55">
        <v>20000</v>
      </c>
      <c r="G141" s="47" t="s">
        <v>242</v>
      </c>
      <c r="H141" s="281" t="s">
        <v>592</v>
      </c>
    </row>
    <row r="142" spans="1:8" ht="36.75" customHeight="1" x14ac:dyDescent="0.25">
      <c r="A142" s="168"/>
      <c r="B142" s="300" t="s">
        <v>321</v>
      </c>
      <c r="C142" s="300"/>
      <c r="D142" s="300"/>
      <c r="E142" s="300"/>
      <c r="F142" s="300"/>
      <c r="G142" s="300"/>
      <c r="H142" s="301"/>
    </row>
    <row r="143" spans="1:8" x14ac:dyDescent="0.25">
      <c r="A143" s="165"/>
      <c r="B143" s="304" t="s">
        <v>8</v>
      </c>
      <c r="C143" s="304"/>
      <c r="D143" s="304"/>
      <c r="E143" s="304"/>
      <c r="F143" s="304"/>
      <c r="G143" s="304"/>
      <c r="H143" s="305"/>
    </row>
    <row r="144" spans="1:8" ht="78.75" customHeight="1" x14ac:dyDescent="0.25">
      <c r="A144" s="167" t="s">
        <v>322</v>
      </c>
      <c r="B144" s="66" t="s">
        <v>243</v>
      </c>
      <c r="C144" s="44" t="s">
        <v>244</v>
      </c>
      <c r="D144" s="52" t="s">
        <v>368</v>
      </c>
      <c r="E144" s="44" t="s">
        <v>534</v>
      </c>
      <c r="F144" s="82">
        <v>50000</v>
      </c>
      <c r="G144" s="331" t="s">
        <v>245</v>
      </c>
      <c r="H144" s="161"/>
    </row>
    <row r="145" spans="1:8" ht="45" x14ac:dyDescent="0.25">
      <c r="A145" s="167" t="s">
        <v>323</v>
      </c>
      <c r="B145" s="66" t="s">
        <v>364</v>
      </c>
      <c r="C145" s="44" t="s">
        <v>246</v>
      </c>
      <c r="D145" s="44" t="s">
        <v>226</v>
      </c>
      <c r="E145" s="44" t="s">
        <v>526</v>
      </c>
      <c r="F145" s="56">
        <v>20000</v>
      </c>
      <c r="G145" s="332"/>
      <c r="H145" s="161"/>
    </row>
    <row r="146" spans="1:8" ht="18" customHeight="1" x14ac:dyDescent="0.25">
      <c r="A146" s="167" t="s">
        <v>324</v>
      </c>
      <c r="B146" s="66" t="s">
        <v>247</v>
      </c>
      <c r="C146" s="44" t="s">
        <v>248</v>
      </c>
      <c r="D146" s="44" t="s">
        <v>226</v>
      </c>
      <c r="E146" s="44" t="s">
        <v>510</v>
      </c>
      <c r="F146" s="56">
        <v>50000</v>
      </c>
      <c r="G146" s="332"/>
      <c r="H146" s="161"/>
    </row>
    <row r="147" spans="1:8" ht="32.25" customHeight="1" x14ac:dyDescent="0.25">
      <c r="A147" s="167" t="s">
        <v>325</v>
      </c>
      <c r="B147" s="66" t="s">
        <v>366</v>
      </c>
      <c r="C147" s="44" t="s">
        <v>365</v>
      </c>
      <c r="D147" s="44" t="s">
        <v>226</v>
      </c>
      <c r="E147" s="44" t="s">
        <v>271</v>
      </c>
      <c r="F147" s="56">
        <v>50000</v>
      </c>
      <c r="G147" s="333"/>
      <c r="H147" s="161"/>
    </row>
    <row r="148" spans="1:8" ht="34.5" customHeight="1" x14ac:dyDescent="0.25">
      <c r="A148" s="169" t="s">
        <v>326</v>
      </c>
      <c r="B148" s="66" t="s">
        <v>249</v>
      </c>
      <c r="C148" s="52" t="s">
        <v>409</v>
      </c>
      <c r="D148" s="52" t="s">
        <v>368</v>
      </c>
      <c r="E148" s="52" t="s">
        <v>271</v>
      </c>
      <c r="F148" s="58">
        <v>10000</v>
      </c>
      <c r="G148" s="53"/>
      <c r="H148" s="170"/>
    </row>
    <row r="149" spans="1:8" ht="34.5" customHeight="1" x14ac:dyDescent="0.25">
      <c r="A149" s="164"/>
      <c r="B149" s="300" t="s">
        <v>327</v>
      </c>
      <c r="C149" s="300"/>
      <c r="D149" s="300"/>
      <c r="E149" s="300"/>
      <c r="F149" s="300"/>
      <c r="G149" s="300"/>
      <c r="H149" s="301"/>
    </row>
    <row r="150" spans="1:8" x14ac:dyDescent="0.25">
      <c r="A150" s="165"/>
      <c r="B150" s="304" t="s">
        <v>21</v>
      </c>
      <c r="C150" s="304"/>
      <c r="D150" s="304"/>
      <c r="E150" s="304"/>
      <c r="F150" s="304"/>
      <c r="G150" s="304"/>
      <c r="H150" s="305"/>
    </row>
    <row r="151" spans="1:8" ht="62.25" customHeight="1" x14ac:dyDescent="0.25">
      <c r="A151" s="163" t="s">
        <v>328</v>
      </c>
      <c r="B151" s="44" t="s">
        <v>250</v>
      </c>
      <c r="C151" s="98" t="s">
        <v>251</v>
      </c>
      <c r="D151" s="229" t="s">
        <v>367</v>
      </c>
      <c r="E151" s="44" t="s">
        <v>534</v>
      </c>
      <c r="F151" s="55">
        <v>50000</v>
      </c>
      <c r="G151" s="47" t="s">
        <v>520</v>
      </c>
      <c r="H151" s="161"/>
    </row>
    <row r="152" spans="1:8" ht="78.75" customHeight="1" x14ac:dyDescent="0.25">
      <c r="A152" s="163" t="s">
        <v>329</v>
      </c>
      <c r="B152" s="44" t="s">
        <v>252</v>
      </c>
      <c r="C152" s="98" t="s">
        <v>253</v>
      </c>
      <c r="D152" s="229" t="s">
        <v>226</v>
      </c>
      <c r="E152" s="44" t="s">
        <v>535</v>
      </c>
      <c r="F152" s="55">
        <v>40000</v>
      </c>
      <c r="G152" s="47" t="s">
        <v>254</v>
      </c>
      <c r="H152" s="161"/>
    </row>
    <row r="153" spans="1:8" ht="45" x14ac:dyDescent="0.25">
      <c r="A153" s="163" t="s">
        <v>330</v>
      </c>
      <c r="B153" s="44" t="s">
        <v>255</v>
      </c>
      <c r="C153" s="98" t="s">
        <v>256</v>
      </c>
      <c r="D153" s="229" t="s">
        <v>222</v>
      </c>
      <c r="E153" s="44" t="s">
        <v>534</v>
      </c>
      <c r="F153" s="55">
        <v>20000</v>
      </c>
      <c r="G153" s="47" t="s">
        <v>257</v>
      </c>
      <c r="H153" s="161"/>
    </row>
    <row r="154" spans="1:8" s="228" customFormat="1" ht="30" x14ac:dyDescent="0.25">
      <c r="A154" s="163" t="s">
        <v>331</v>
      </c>
      <c r="B154" s="44" t="s">
        <v>431</v>
      </c>
      <c r="C154" s="44"/>
      <c r="D154" s="229" t="s">
        <v>358</v>
      </c>
      <c r="E154" s="44" t="s">
        <v>532</v>
      </c>
      <c r="F154" s="44">
        <v>5000</v>
      </c>
      <c r="G154" s="44" t="s">
        <v>519</v>
      </c>
      <c r="H154" s="220"/>
    </row>
    <row r="155" spans="1:8" ht="75.75" thickBot="1" x14ac:dyDescent="0.3">
      <c r="A155" s="163" t="s">
        <v>527</v>
      </c>
      <c r="B155" s="217" t="s">
        <v>410</v>
      </c>
      <c r="C155" s="217" t="s">
        <v>256</v>
      </c>
      <c r="D155" s="246" t="s">
        <v>222</v>
      </c>
      <c r="E155" s="217" t="s">
        <v>534</v>
      </c>
      <c r="F155" s="218">
        <v>20000</v>
      </c>
      <c r="G155" s="219" t="s">
        <v>369</v>
      </c>
      <c r="H155" s="220"/>
    </row>
    <row r="156" spans="1:8" ht="15.75" customHeight="1" thickBot="1" x14ac:dyDescent="0.3">
      <c r="A156" s="337" t="s">
        <v>593</v>
      </c>
      <c r="B156" s="338"/>
      <c r="C156" s="221"/>
      <c r="D156" s="221"/>
      <c r="E156" s="221"/>
      <c r="F156" s="222">
        <f>SUM(F103:F155)</f>
        <v>1023840</v>
      </c>
      <c r="G156" s="221"/>
      <c r="H156" s="223"/>
    </row>
    <row r="157" spans="1:8" ht="15.75" thickBot="1" x14ac:dyDescent="0.3"/>
    <row r="158" spans="1:8" x14ac:dyDescent="0.25">
      <c r="A158" s="156"/>
      <c r="B158" s="302" t="s">
        <v>594</v>
      </c>
      <c r="C158" s="302"/>
      <c r="D158" s="302"/>
      <c r="E158" s="302"/>
      <c r="F158" s="302"/>
      <c r="G158" s="302"/>
      <c r="H158" s="303"/>
    </row>
    <row r="159" spans="1:8" x14ac:dyDescent="0.25">
      <c r="A159" s="160"/>
      <c r="B159" s="46"/>
      <c r="C159" s="44"/>
      <c r="D159" s="44"/>
      <c r="E159" s="44"/>
      <c r="F159" s="55"/>
      <c r="G159" s="47"/>
      <c r="H159" s="161"/>
    </row>
    <row r="160" spans="1:8" ht="27.75" customHeight="1" x14ac:dyDescent="0.25">
      <c r="A160" s="162" t="s">
        <v>6</v>
      </c>
      <c r="B160" s="312" t="s">
        <v>595</v>
      </c>
      <c r="C160" s="312"/>
      <c r="D160" s="312"/>
      <c r="E160" s="312"/>
      <c r="F160" s="312"/>
      <c r="G160" s="312"/>
      <c r="H160" s="313"/>
    </row>
    <row r="161" spans="1:10" x14ac:dyDescent="0.25">
      <c r="A161" s="163"/>
      <c r="B161" s="298"/>
      <c r="C161" s="298"/>
      <c r="D161" s="298"/>
      <c r="E161" s="298"/>
      <c r="F161" s="298"/>
      <c r="G161" s="298"/>
      <c r="H161" s="299"/>
    </row>
    <row r="162" spans="1:10" ht="46.5" customHeight="1" x14ac:dyDescent="0.25">
      <c r="A162" s="164"/>
      <c r="B162" s="300" t="s">
        <v>332</v>
      </c>
      <c r="C162" s="300"/>
      <c r="D162" s="300"/>
      <c r="E162" s="300"/>
      <c r="F162" s="300"/>
      <c r="G162" s="300"/>
      <c r="H162" s="301"/>
    </row>
    <row r="163" spans="1:10" x14ac:dyDescent="0.25">
      <c r="A163" s="157"/>
      <c r="B163" s="79" t="s">
        <v>183</v>
      </c>
      <c r="C163" s="78"/>
      <c r="D163" s="78"/>
      <c r="E163" s="78"/>
      <c r="F163" s="78"/>
      <c r="G163" s="80"/>
      <c r="H163" s="158"/>
    </row>
    <row r="164" spans="1:10" x14ac:dyDescent="0.25">
      <c r="A164" s="157"/>
      <c r="B164" s="78" t="s">
        <v>86</v>
      </c>
      <c r="C164" s="78"/>
      <c r="D164" s="78"/>
      <c r="E164" s="78" t="s">
        <v>340</v>
      </c>
      <c r="F164" s="82">
        <v>24000</v>
      </c>
      <c r="G164" s="80" t="s">
        <v>354</v>
      </c>
      <c r="H164" s="158"/>
    </row>
    <row r="165" spans="1:10" x14ac:dyDescent="0.25">
      <c r="A165" s="157"/>
      <c r="B165" s="78" t="s">
        <v>357</v>
      </c>
      <c r="C165" s="78"/>
      <c r="D165" s="78"/>
      <c r="E165" s="78" t="s">
        <v>340</v>
      </c>
      <c r="F165" s="82">
        <v>6000</v>
      </c>
      <c r="G165" s="80" t="s">
        <v>355</v>
      </c>
      <c r="H165" s="158"/>
    </row>
    <row r="166" spans="1:10" x14ac:dyDescent="0.25">
      <c r="A166" s="157"/>
      <c r="B166" s="78" t="s">
        <v>88</v>
      </c>
      <c r="C166" s="78"/>
      <c r="D166" s="78"/>
      <c r="E166" s="78" t="s">
        <v>340</v>
      </c>
      <c r="F166" s="86">
        <v>4200</v>
      </c>
      <c r="G166" s="86" t="s">
        <v>397</v>
      </c>
      <c r="H166" s="158"/>
    </row>
    <row r="167" spans="1:10" x14ac:dyDescent="0.25">
      <c r="A167" s="116"/>
      <c r="B167" s="83" t="s">
        <v>337</v>
      </c>
      <c r="C167" s="103"/>
      <c r="D167" s="103"/>
      <c r="E167" s="103" t="s">
        <v>340</v>
      </c>
      <c r="F167" s="82">
        <v>6000</v>
      </c>
      <c r="G167" s="105" t="s">
        <v>355</v>
      </c>
      <c r="H167" s="159"/>
      <c r="J167" t="s">
        <v>6</v>
      </c>
    </row>
    <row r="168" spans="1:10" x14ac:dyDescent="0.25">
      <c r="A168" s="176"/>
      <c r="B168" s="91" t="s">
        <v>89</v>
      </c>
      <c r="C168" s="90"/>
      <c r="D168" s="90"/>
      <c r="E168" s="90"/>
      <c r="F168" s="90"/>
      <c r="G168" s="92"/>
      <c r="H168" s="177"/>
    </row>
    <row r="169" spans="1:10" x14ac:dyDescent="0.25">
      <c r="A169" s="157"/>
      <c r="B169" s="80" t="s">
        <v>432</v>
      </c>
      <c r="C169" s="78"/>
      <c r="D169" s="78"/>
      <c r="E169" s="78" t="s">
        <v>376</v>
      </c>
      <c r="F169" s="81">
        <v>50000</v>
      </c>
      <c r="G169" s="80"/>
      <c r="H169" s="158"/>
    </row>
    <row r="170" spans="1:10" x14ac:dyDescent="0.25">
      <c r="A170" s="165"/>
      <c r="B170" s="309" t="s">
        <v>8</v>
      </c>
      <c r="C170" s="310"/>
      <c r="D170" s="310"/>
      <c r="E170" s="310"/>
      <c r="F170" s="310"/>
      <c r="G170" s="310"/>
      <c r="H170" s="311"/>
    </row>
    <row r="171" spans="1:10" ht="90" x14ac:dyDescent="0.25">
      <c r="A171" s="163" t="s">
        <v>258</v>
      </c>
      <c r="B171" s="102" t="s">
        <v>411</v>
      </c>
      <c r="C171" s="44" t="s">
        <v>259</v>
      </c>
      <c r="D171" s="44" t="s">
        <v>260</v>
      </c>
      <c r="E171" s="44" t="s">
        <v>261</v>
      </c>
      <c r="F171" s="82">
        <v>50000</v>
      </c>
      <c r="G171" s="47" t="s">
        <v>377</v>
      </c>
      <c r="H171" s="161" t="s">
        <v>596</v>
      </c>
    </row>
    <row r="172" spans="1:10" ht="30" x14ac:dyDescent="0.25">
      <c r="A172" s="163" t="s">
        <v>262</v>
      </c>
      <c r="B172" s="44" t="s">
        <v>263</v>
      </c>
      <c r="C172" s="44" t="s">
        <v>264</v>
      </c>
      <c r="D172" s="44" t="s">
        <v>265</v>
      </c>
      <c r="E172" s="44" t="s">
        <v>266</v>
      </c>
      <c r="F172" s="55">
        <v>300000</v>
      </c>
      <c r="G172" s="47" t="s">
        <v>412</v>
      </c>
      <c r="H172" s="161" t="s">
        <v>597</v>
      </c>
    </row>
    <row r="173" spans="1:10" ht="105" x14ac:dyDescent="0.25">
      <c r="A173" s="163" t="s">
        <v>267</v>
      </c>
      <c r="B173" s="62" t="s">
        <v>268</v>
      </c>
      <c r="C173" s="44" t="s">
        <v>269</v>
      </c>
      <c r="D173" s="44" t="s">
        <v>270</v>
      </c>
      <c r="E173" s="44" t="s">
        <v>271</v>
      </c>
      <c r="F173" s="55">
        <v>60000</v>
      </c>
      <c r="G173" s="47" t="s">
        <v>413</v>
      </c>
      <c r="H173" s="161"/>
    </row>
    <row r="174" spans="1:10" ht="15" customHeight="1" x14ac:dyDescent="0.25">
      <c r="A174" s="164"/>
      <c r="B174" s="306" t="s">
        <v>272</v>
      </c>
      <c r="C174" s="307"/>
      <c r="D174" s="307"/>
      <c r="E174" s="307"/>
      <c r="F174" s="307"/>
      <c r="G174" s="307"/>
      <c r="H174" s="308"/>
    </row>
    <row r="175" spans="1:10" x14ac:dyDescent="0.25">
      <c r="A175" s="165"/>
      <c r="B175" s="309" t="s">
        <v>8</v>
      </c>
      <c r="C175" s="310"/>
      <c r="D175" s="310"/>
      <c r="E175" s="310"/>
      <c r="F175" s="310"/>
      <c r="G175" s="310"/>
      <c r="H175" s="311"/>
    </row>
    <row r="176" spans="1:10" ht="75" x14ac:dyDescent="0.25">
      <c r="A176" s="166" t="s">
        <v>380</v>
      </c>
      <c r="B176" s="44" t="s">
        <v>414</v>
      </c>
      <c r="C176" s="44" t="s">
        <v>273</v>
      </c>
      <c r="D176" s="44" t="s">
        <v>274</v>
      </c>
      <c r="E176" s="44" t="s">
        <v>352</v>
      </c>
      <c r="F176" s="57">
        <v>25000</v>
      </c>
      <c r="G176" s="47" t="s">
        <v>378</v>
      </c>
      <c r="H176" s="281" t="s">
        <v>598</v>
      </c>
    </row>
    <row r="177" spans="1:8" ht="30" x14ac:dyDescent="0.25">
      <c r="A177" s="166" t="s">
        <v>379</v>
      </c>
      <c r="B177" s="44" t="s">
        <v>381</v>
      </c>
      <c r="C177" s="44"/>
      <c r="D177" s="44" t="s">
        <v>382</v>
      </c>
      <c r="E177" s="44" t="s">
        <v>352</v>
      </c>
      <c r="F177" s="55">
        <v>25000</v>
      </c>
      <c r="G177" s="47" t="s">
        <v>378</v>
      </c>
      <c r="H177" s="281" t="s">
        <v>599</v>
      </c>
    </row>
    <row r="178" spans="1:8" ht="117.75" customHeight="1" x14ac:dyDescent="0.25">
      <c r="A178" s="167" t="s">
        <v>275</v>
      </c>
      <c r="B178" s="44" t="s">
        <v>521</v>
      </c>
      <c r="C178" s="44" t="s">
        <v>276</v>
      </c>
      <c r="D178" s="44" t="s">
        <v>104</v>
      </c>
      <c r="E178" s="49" t="s">
        <v>383</v>
      </c>
      <c r="F178" s="55">
        <v>60000</v>
      </c>
      <c r="G178" s="47" t="s">
        <v>384</v>
      </c>
      <c r="H178" s="281" t="s">
        <v>599</v>
      </c>
    </row>
    <row r="179" spans="1:8" ht="36" customHeight="1" x14ac:dyDescent="0.25">
      <c r="A179" s="168"/>
      <c r="B179" s="306" t="s">
        <v>334</v>
      </c>
      <c r="C179" s="307"/>
      <c r="D179" s="307"/>
      <c r="E179" s="307"/>
      <c r="F179" s="307"/>
      <c r="G179" s="307"/>
      <c r="H179" s="308"/>
    </row>
    <row r="180" spans="1:8" x14ac:dyDescent="0.25">
      <c r="A180" s="165"/>
      <c r="B180" s="309" t="s">
        <v>8</v>
      </c>
      <c r="C180" s="310"/>
      <c r="D180" s="310"/>
      <c r="E180" s="310"/>
      <c r="F180" s="310"/>
      <c r="G180" s="310"/>
      <c r="H180" s="311"/>
    </row>
    <row r="181" spans="1:8" ht="75" x14ac:dyDescent="0.25">
      <c r="A181" s="167" t="s">
        <v>277</v>
      </c>
      <c r="B181" s="66" t="s">
        <v>278</v>
      </c>
      <c r="C181" s="44" t="s">
        <v>279</v>
      </c>
      <c r="D181" s="44" t="s">
        <v>265</v>
      </c>
      <c r="E181" s="44" t="s">
        <v>385</v>
      </c>
      <c r="F181" s="82">
        <v>70000</v>
      </c>
      <c r="G181" s="47"/>
      <c r="H181" s="281" t="s">
        <v>596</v>
      </c>
    </row>
    <row r="182" spans="1:8" ht="45" x14ac:dyDescent="0.25">
      <c r="A182" s="167" t="s">
        <v>280</v>
      </c>
      <c r="B182" s="66" t="s">
        <v>281</v>
      </c>
      <c r="C182" s="44" t="s">
        <v>388</v>
      </c>
      <c r="D182" s="44" t="s">
        <v>386</v>
      </c>
      <c r="E182" s="44" t="s">
        <v>387</v>
      </c>
      <c r="F182" s="56">
        <v>300000</v>
      </c>
      <c r="G182" s="47"/>
      <c r="H182" s="281" t="s">
        <v>596</v>
      </c>
    </row>
    <row r="183" spans="1:8" x14ac:dyDescent="0.25">
      <c r="A183" s="167"/>
      <c r="B183" s="300" t="s">
        <v>536</v>
      </c>
      <c r="C183" s="300"/>
      <c r="D183" s="300"/>
      <c r="E183" s="300"/>
      <c r="F183" s="300"/>
      <c r="G183" s="300"/>
      <c r="H183" s="301"/>
    </row>
    <row r="184" spans="1:8" x14ac:dyDescent="0.25">
      <c r="A184" s="167"/>
      <c r="B184" s="304" t="s">
        <v>21</v>
      </c>
      <c r="C184" s="304"/>
      <c r="D184" s="304"/>
      <c r="E184" s="304"/>
      <c r="F184" s="304"/>
      <c r="G184" s="304"/>
      <c r="H184" s="305"/>
    </row>
    <row r="185" spans="1:8" ht="15.75" thickBot="1" x14ac:dyDescent="0.3">
      <c r="A185" s="178" t="s">
        <v>389</v>
      </c>
      <c r="B185" s="107" t="s">
        <v>390</v>
      </c>
      <c r="C185" s="107"/>
      <c r="D185" s="107" t="s">
        <v>392</v>
      </c>
      <c r="E185" s="107" t="s">
        <v>393</v>
      </c>
      <c r="F185" s="211">
        <v>50000</v>
      </c>
      <c r="G185" s="107" t="s">
        <v>391</v>
      </c>
      <c r="H185" s="281" t="s">
        <v>600</v>
      </c>
    </row>
    <row r="186" spans="1:8" ht="15.75" thickBot="1" x14ac:dyDescent="0.3">
      <c r="A186" s="215" t="s">
        <v>537</v>
      </c>
      <c r="B186" s="175" t="s">
        <v>394</v>
      </c>
      <c r="C186" s="175"/>
      <c r="D186" s="175" t="s">
        <v>392</v>
      </c>
      <c r="E186" s="175" t="s">
        <v>375</v>
      </c>
      <c r="F186" s="216">
        <v>10000</v>
      </c>
      <c r="G186" s="175" t="s">
        <v>395</v>
      </c>
      <c r="H186" s="281" t="s">
        <v>600</v>
      </c>
    </row>
    <row r="187" spans="1:8" ht="15.75" customHeight="1" thickBot="1" x14ac:dyDescent="0.3">
      <c r="A187" s="339" t="s">
        <v>601</v>
      </c>
      <c r="B187" s="340"/>
      <c r="C187" s="212"/>
      <c r="D187" s="212"/>
      <c r="E187" s="212"/>
      <c r="F187" s="213">
        <f>SUM(F164:F186)</f>
        <v>1040200</v>
      </c>
      <c r="G187" s="212"/>
      <c r="H187" s="214"/>
    </row>
    <row r="188" spans="1:8" x14ac:dyDescent="0.25">
      <c r="A188" s="171"/>
      <c r="B188" s="171"/>
      <c r="C188" s="172"/>
      <c r="D188" s="172"/>
      <c r="E188" s="172"/>
      <c r="F188" s="173"/>
      <c r="G188" s="174"/>
      <c r="H188" s="174"/>
    </row>
    <row r="189" spans="1:8" ht="31.5" customHeight="1" x14ac:dyDescent="0.25">
      <c r="A189" s="45"/>
      <c r="B189" s="295" t="s">
        <v>602</v>
      </c>
      <c r="C189" s="296"/>
      <c r="D189" s="296"/>
      <c r="E189" s="296"/>
      <c r="F189" s="296"/>
      <c r="G189" s="296"/>
      <c r="H189" s="297"/>
    </row>
    <row r="190" spans="1:8" x14ac:dyDescent="0.25">
      <c r="A190" s="60"/>
      <c r="B190" s="46"/>
      <c r="C190" s="46"/>
      <c r="D190" s="46"/>
      <c r="E190" s="44"/>
      <c r="F190" s="44"/>
      <c r="G190" s="44"/>
      <c r="H190" s="55"/>
    </row>
    <row r="191" spans="1:8" ht="15" customHeight="1" x14ac:dyDescent="0.25">
      <c r="A191" s="61" t="s">
        <v>6</v>
      </c>
      <c r="B191" s="334" t="s">
        <v>603</v>
      </c>
      <c r="C191" s="335"/>
      <c r="D191" s="335"/>
      <c r="E191" s="335"/>
      <c r="F191" s="335"/>
      <c r="G191" s="335"/>
      <c r="H191" s="336"/>
    </row>
    <row r="192" spans="1:8" x14ac:dyDescent="0.25">
      <c r="A192" s="51">
        <v>5</v>
      </c>
      <c r="B192" s="328" t="s">
        <v>282</v>
      </c>
      <c r="C192" s="329"/>
      <c r="D192" s="329"/>
      <c r="E192" s="329"/>
      <c r="F192" s="329"/>
      <c r="G192" s="329"/>
      <c r="H192" s="330"/>
    </row>
    <row r="193" spans="1:8" ht="15" customHeight="1" x14ac:dyDescent="0.25">
      <c r="A193" s="164"/>
      <c r="B193" s="306" t="s">
        <v>333</v>
      </c>
      <c r="C193" s="307"/>
      <c r="D193" s="307"/>
      <c r="E193" s="307"/>
      <c r="F193" s="307"/>
      <c r="G193" s="307"/>
      <c r="H193" s="308"/>
    </row>
    <row r="194" spans="1:8" x14ac:dyDescent="0.25">
      <c r="A194" s="78"/>
      <c r="B194" s="79" t="s">
        <v>183</v>
      </c>
      <c r="C194" s="78"/>
      <c r="D194" s="78"/>
      <c r="E194" s="78"/>
      <c r="F194" s="78"/>
      <c r="G194" s="80"/>
      <c r="H194" s="80"/>
    </row>
    <row r="195" spans="1:8" x14ac:dyDescent="0.25">
      <c r="A195" s="78"/>
      <c r="B195" s="78" t="s">
        <v>86</v>
      </c>
      <c r="C195" s="78"/>
      <c r="D195" s="78"/>
      <c r="E195" s="78" t="s">
        <v>340</v>
      </c>
      <c r="F195" s="86">
        <v>24000</v>
      </c>
      <c r="G195" s="80" t="s">
        <v>354</v>
      </c>
      <c r="H195" s="80"/>
    </row>
    <row r="196" spans="1:8" x14ac:dyDescent="0.25">
      <c r="A196" s="78"/>
      <c r="B196" s="78" t="s">
        <v>357</v>
      </c>
      <c r="C196" s="78"/>
      <c r="D196" s="78"/>
      <c r="E196" s="78" t="s">
        <v>340</v>
      </c>
      <c r="F196" s="86">
        <v>6000</v>
      </c>
      <c r="G196" s="80" t="s">
        <v>355</v>
      </c>
      <c r="H196" s="80"/>
    </row>
    <row r="197" spans="1:8" x14ac:dyDescent="0.25">
      <c r="A197" s="78"/>
      <c r="B197" s="78" t="s">
        <v>88</v>
      </c>
      <c r="C197" s="78"/>
      <c r="D197" s="78"/>
      <c r="E197" s="78" t="s">
        <v>340</v>
      </c>
      <c r="F197" s="86">
        <v>4200</v>
      </c>
      <c r="G197" s="86" t="s">
        <v>397</v>
      </c>
      <c r="H197" s="80"/>
    </row>
    <row r="198" spans="1:8" x14ac:dyDescent="0.25">
      <c r="A198" s="28"/>
      <c r="B198" s="83" t="s">
        <v>337</v>
      </c>
      <c r="C198" s="3"/>
      <c r="D198" s="3"/>
      <c r="E198" s="3" t="s">
        <v>340</v>
      </c>
      <c r="F198" s="86">
        <v>6000</v>
      </c>
      <c r="G198" s="6" t="s">
        <v>355</v>
      </c>
      <c r="H198" s="6"/>
    </row>
    <row r="199" spans="1:8" x14ac:dyDescent="0.25">
      <c r="A199" s="78"/>
      <c r="B199" s="79" t="s">
        <v>89</v>
      </c>
      <c r="C199" s="78"/>
      <c r="D199" s="78"/>
      <c r="E199" s="78"/>
      <c r="F199" s="86"/>
      <c r="G199" s="80"/>
      <c r="H199" s="80"/>
    </row>
    <row r="200" spans="1:8" x14ac:dyDescent="0.25">
      <c r="A200" s="78"/>
      <c r="B200" s="80" t="s">
        <v>564</v>
      </c>
      <c r="C200" s="78"/>
      <c r="D200" s="78"/>
      <c r="E200" s="78" t="s">
        <v>340</v>
      </c>
      <c r="F200" s="86">
        <v>28000</v>
      </c>
      <c r="G200" s="80"/>
      <c r="H200" s="80"/>
    </row>
    <row r="201" spans="1:8" x14ac:dyDescent="0.25">
      <c r="A201" s="60"/>
      <c r="B201" s="60" t="s">
        <v>415</v>
      </c>
      <c r="C201" s="44"/>
      <c r="D201" s="44"/>
      <c r="E201" s="44"/>
      <c r="F201" s="86"/>
      <c r="G201" s="47"/>
      <c r="H201" s="47"/>
    </row>
    <row r="202" spans="1:8" x14ac:dyDescent="0.25">
      <c r="A202" s="60"/>
      <c r="B202" s="46" t="s">
        <v>416</v>
      </c>
      <c r="C202" s="44"/>
      <c r="D202" s="44"/>
      <c r="E202" s="44" t="s">
        <v>340</v>
      </c>
      <c r="F202" s="86">
        <v>250000</v>
      </c>
      <c r="G202" s="47"/>
      <c r="H202" s="47"/>
    </row>
    <row r="203" spans="1:8" x14ac:dyDescent="0.25">
      <c r="A203" s="60"/>
      <c r="B203" s="46" t="s">
        <v>396</v>
      </c>
      <c r="C203" s="44"/>
      <c r="D203" s="44"/>
      <c r="E203" s="44" t="s">
        <v>340</v>
      </c>
      <c r="F203" s="86">
        <v>80000</v>
      </c>
      <c r="G203" s="48"/>
      <c r="H203" s="47"/>
    </row>
    <row r="204" spans="1:8" x14ac:dyDescent="0.25">
      <c r="A204" s="51"/>
      <c r="B204" s="44"/>
      <c r="C204" s="194"/>
      <c r="D204" s="195"/>
      <c r="E204" s="44"/>
      <c r="F204" s="55"/>
      <c r="G204" s="47"/>
      <c r="H204" s="6"/>
    </row>
    <row r="205" spans="1:8" x14ac:dyDescent="0.25">
      <c r="A205" s="164"/>
      <c r="B205" s="306" t="s">
        <v>434</v>
      </c>
      <c r="C205" s="307" t="s">
        <v>435</v>
      </c>
      <c r="D205" s="307"/>
      <c r="E205" s="307"/>
      <c r="F205" s="307"/>
      <c r="G205" s="307"/>
      <c r="H205" s="308"/>
    </row>
    <row r="206" spans="1:8" ht="34.5" customHeight="1" x14ac:dyDescent="0.25">
      <c r="A206" s="54">
        <v>5.0999999999999996</v>
      </c>
      <c r="B206" s="343" t="s">
        <v>436</v>
      </c>
      <c r="C206" s="344"/>
      <c r="D206" s="344"/>
      <c r="E206" s="344"/>
      <c r="F206" s="344"/>
      <c r="G206" s="344"/>
      <c r="H206" s="345"/>
    </row>
    <row r="207" spans="1:8" ht="18.75" customHeight="1" x14ac:dyDescent="0.25">
      <c r="A207" s="75"/>
      <c r="B207" s="304" t="s">
        <v>437</v>
      </c>
      <c r="C207" s="304"/>
      <c r="D207" s="304"/>
      <c r="E207" s="304"/>
      <c r="F207" s="304"/>
      <c r="G207" s="304"/>
      <c r="H207" s="305"/>
    </row>
    <row r="208" spans="1:8" s="193" customFormat="1" ht="60" x14ac:dyDescent="0.25">
      <c r="A208" s="253" t="s">
        <v>283</v>
      </c>
      <c r="B208" s="260" t="s">
        <v>538</v>
      </c>
      <c r="C208" s="260" t="s">
        <v>438</v>
      </c>
      <c r="D208" s="260" t="s">
        <v>439</v>
      </c>
      <c r="E208" s="260" t="s">
        <v>440</v>
      </c>
      <c r="F208" s="196">
        <v>63500</v>
      </c>
      <c r="G208" s="197" t="s">
        <v>539</v>
      </c>
      <c r="H208" s="266" t="s">
        <v>604</v>
      </c>
    </row>
    <row r="209" spans="1:8" ht="75" x14ac:dyDescent="0.25">
      <c r="A209" s="255" t="s">
        <v>284</v>
      </c>
      <c r="B209" s="251" t="s">
        <v>540</v>
      </c>
      <c r="C209" s="251" t="s">
        <v>441</v>
      </c>
      <c r="D209" s="247" t="s">
        <v>442</v>
      </c>
      <c r="E209" s="258" t="s">
        <v>541</v>
      </c>
      <c r="F209" s="196">
        <v>78000</v>
      </c>
      <c r="G209" s="254" t="s">
        <v>443</v>
      </c>
      <c r="H209" s="266" t="s">
        <v>604</v>
      </c>
    </row>
    <row r="210" spans="1:8" s="248" customFormat="1" ht="60" x14ac:dyDescent="0.25">
      <c r="A210" s="255" t="s">
        <v>285</v>
      </c>
      <c r="B210" s="251" t="s">
        <v>444</v>
      </c>
      <c r="C210" s="251" t="s">
        <v>445</v>
      </c>
      <c r="D210" s="247" t="s">
        <v>446</v>
      </c>
      <c r="E210" s="258" t="s">
        <v>542</v>
      </c>
      <c r="F210" s="196">
        <v>7000</v>
      </c>
      <c r="G210" s="254" t="s">
        <v>447</v>
      </c>
      <c r="H210" s="266" t="s">
        <v>604</v>
      </c>
    </row>
    <row r="211" spans="1:8" ht="45" x14ac:dyDescent="0.25">
      <c r="A211" s="255" t="s">
        <v>449</v>
      </c>
      <c r="B211" s="252" t="s">
        <v>543</v>
      </c>
      <c r="C211" s="251" t="s">
        <v>546</v>
      </c>
      <c r="D211" s="267" t="s">
        <v>545</v>
      </c>
      <c r="E211" s="258" t="s">
        <v>542</v>
      </c>
      <c r="F211" s="196">
        <v>5000</v>
      </c>
      <c r="G211" s="260" t="s">
        <v>544</v>
      </c>
      <c r="H211" s="266" t="s">
        <v>604</v>
      </c>
    </row>
    <row r="212" spans="1:8" ht="15.75" customHeight="1" x14ac:dyDescent="0.25">
      <c r="A212" s="164">
        <v>5.2</v>
      </c>
      <c r="B212" s="306" t="s">
        <v>451</v>
      </c>
      <c r="C212" s="307"/>
      <c r="D212" s="307"/>
      <c r="E212" s="307"/>
      <c r="F212" s="307"/>
      <c r="G212" s="307"/>
      <c r="H212" s="308"/>
    </row>
    <row r="213" spans="1:8" ht="52.5" customHeight="1" x14ac:dyDescent="0.25">
      <c r="A213" s="51" t="s">
        <v>286</v>
      </c>
      <c r="B213" s="343" t="s">
        <v>500</v>
      </c>
      <c r="C213" s="344"/>
      <c r="D213" s="344"/>
      <c r="E213" s="344"/>
      <c r="F213" s="344"/>
      <c r="G213" s="344"/>
      <c r="H213" s="345"/>
    </row>
    <row r="214" spans="1:8" ht="21" customHeight="1" x14ac:dyDescent="0.25">
      <c r="A214" s="75"/>
      <c r="B214" s="304" t="s">
        <v>437</v>
      </c>
      <c r="C214" s="304"/>
      <c r="D214" s="304"/>
      <c r="E214" s="304"/>
      <c r="F214" s="304"/>
      <c r="G214" s="304"/>
      <c r="H214" s="305"/>
    </row>
    <row r="215" spans="1:8" ht="78.75" customHeight="1" x14ac:dyDescent="0.25">
      <c r="A215" s="51" t="s">
        <v>452</v>
      </c>
      <c r="B215" s="260" t="s">
        <v>453</v>
      </c>
      <c r="C215" s="260" t="s">
        <v>501</v>
      </c>
      <c r="D215" s="260" t="s">
        <v>454</v>
      </c>
      <c r="E215" s="260" t="s">
        <v>456</v>
      </c>
      <c r="F215" s="265">
        <v>20000</v>
      </c>
      <c r="G215" s="260" t="s">
        <v>455</v>
      </c>
      <c r="H215" s="266" t="s">
        <v>605</v>
      </c>
    </row>
    <row r="216" spans="1:8" ht="15.75" customHeight="1" x14ac:dyDescent="0.25">
      <c r="A216" s="164"/>
      <c r="B216" s="306" t="s">
        <v>457</v>
      </c>
      <c r="C216" s="307"/>
      <c r="D216" s="307"/>
      <c r="E216" s="307"/>
      <c r="F216" s="307"/>
      <c r="G216" s="307"/>
      <c r="H216" s="308"/>
    </row>
    <row r="217" spans="1:8" ht="31.5" customHeight="1" x14ac:dyDescent="0.25">
      <c r="A217" s="51">
        <v>5.3</v>
      </c>
      <c r="B217" s="343" t="s">
        <v>458</v>
      </c>
      <c r="C217" s="344"/>
      <c r="D217" s="344"/>
      <c r="E217" s="344"/>
      <c r="F217" s="344"/>
      <c r="G217" s="344"/>
      <c r="H217" s="345"/>
    </row>
    <row r="218" spans="1:8" ht="17.25" customHeight="1" x14ac:dyDescent="0.25">
      <c r="A218" s="75"/>
      <c r="B218" s="304" t="s">
        <v>459</v>
      </c>
      <c r="C218" s="304"/>
      <c r="D218" s="304"/>
      <c r="E218" s="304"/>
      <c r="F218" s="304"/>
      <c r="G218" s="304"/>
      <c r="H218" s="305"/>
    </row>
    <row r="219" spans="1:8" ht="51.75" customHeight="1" x14ac:dyDescent="0.25">
      <c r="A219" s="51" t="s">
        <v>287</v>
      </c>
      <c r="B219" s="44" t="s">
        <v>502</v>
      </c>
      <c r="C219" s="261" t="s">
        <v>503</v>
      </c>
      <c r="D219" s="44" t="s">
        <v>104</v>
      </c>
      <c r="E219" s="47" t="s">
        <v>448</v>
      </c>
      <c r="F219" s="199">
        <v>15000</v>
      </c>
      <c r="G219" s="47" t="s">
        <v>547</v>
      </c>
      <c r="H219" s="6"/>
    </row>
    <row r="220" spans="1:8" ht="32.25" customHeight="1" x14ac:dyDescent="0.25">
      <c r="A220" s="51" t="s">
        <v>288</v>
      </c>
      <c r="B220" s="44" t="s">
        <v>549</v>
      </c>
      <c r="C220" s="261" t="s">
        <v>550</v>
      </c>
      <c r="D220" s="44" t="s">
        <v>104</v>
      </c>
      <c r="E220" s="66" t="s">
        <v>548</v>
      </c>
      <c r="F220" s="27">
        <v>15000</v>
      </c>
      <c r="G220" s="48" t="s">
        <v>551</v>
      </c>
      <c r="H220" s="6"/>
    </row>
    <row r="221" spans="1:8" ht="30" x14ac:dyDescent="0.25">
      <c r="A221" s="253" t="s">
        <v>460</v>
      </c>
      <c r="B221" s="68" t="s">
        <v>463</v>
      </c>
      <c r="C221" s="52" t="s">
        <v>464</v>
      </c>
      <c r="D221" s="52" t="s">
        <v>465</v>
      </c>
      <c r="E221" s="27" t="s">
        <v>271</v>
      </c>
      <c r="F221" s="27">
        <v>60000</v>
      </c>
      <c r="G221" s="56" t="s">
        <v>552</v>
      </c>
      <c r="H221" s="6"/>
    </row>
    <row r="222" spans="1:8" ht="31.5" customHeight="1" x14ac:dyDescent="0.25">
      <c r="A222" s="253" t="s">
        <v>462</v>
      </c>
      <c r="B222" s="346" t="s">
        <v>466</v>
      </c>
      <c r="C222" s="346"/>
      <c r="D222" s="346"/>
      <c r="E222" s="346"/>
      <c r="F222" s="346"/>
      <c r="G222" s="346"/>
      <c r="H222" s="346"/>
    </row>
    <row r="223" spans="1:8" ht="60" x14ac:dyDescent="0.25">
      <c r="A223" s="253" t="s">
        <v>553</v>
      </c>
      <c r="B223" s="44" t="s">
        <v>506</v>
      </c>
      <c r="C223" s="44" t="s">
        <v>554</v>
      </c>
      <c r="D223" s="44" t="s">
        <v>505</v>
      </c>
      <c r="E223" s="27" t="s">
        <v>448</v>
      </c>
      <c r="F223" s="27">
        <v>15000</v>
      </c>
      <c r="G223" s="44" t="s">
        <v>504</v>
      </c>
      <c r="H223" s="6"/>
    </row>
    <row r="224" spans="1:8" ht="30" x14ac:dyDescent="0.25">
      <c r="A224" s="253" t="s">
        <v>555</v>
      </c>
      <c r="B224" s="64" t="s">
        <v>507</v>
      </c>
      <c r="C224" s="52" t="s">
        <v>467</v>
      </c>
      <c r="D224" s="52" t="s">
        <v>461</v>
      </c>
      <c r="E224" s="27" t="s">
        <v>448</v>
      </c>
      <c r="F224" s="27">
        <v>5000</v>
      </c>
      <c r="G224" s="48" t="s">
        <v>556</v>
      </c>
      <c r="H224" s="6"/>
    </row>
    <row r="225" spans="1:12" s="201" customFormat="1" ht="30" x14ac:dyDescent="0.25">
      <c r="A225" s="253" t="s">
        <v>557</v>
      </c>
      <c r="B225" s="97" t="s">
        <v>508</v>
      </c>
      <c r="C225" s="97" t="s">
        <v>468</v>
      </c>
      <c r="D225" s="97" t="s">
        <v>461</v>
      </c>
      <c r="E225" s="97" t="s">
        <v>448</v>
      </c>
      <c r="F225" s="268">
        <v>15000</v>
      </c>
      <c r="G225" s="97" t="s">
        <v>558</v>
      </c>
      <c r="H225" s="202"/>
    </row>
    <row r="226" spans="1:12" ht="15" customHeight="1" x14ac:dyDescent="0.25">
      <c r="A226" s="253" t="s">
        <v>559</v>
      </c>
      <c r="B226" s="203" t="s">
        <v>509</v>
      </c>
      <c r="C226" s="203" t="s">
        <v>469</v>
      </c>
      <c r="D226" s="203" t="s">
        <v>461</v>
      </c>
      <c r="E226" s="203" t="s">
        <v>560</v>
      </c>
      <c r="F226" s="198">
        <v>8000</v>
      </c>
      <c r="G226" s="203"/>
      <c r="H226" s="6"/>
    </row>
    <row r="227" spans="1:12" x14ac:dyDescent="0.25">
      <c r="A227" s="164">
        <v>5.4</v>
      </c>
      <c r="B227" s="306" t="s">
        <v>499</v>
      </c>
      <c r="C227" s="307"/>
      <c r="D227" s="307"/>
      <c r="E227" s="307"/>
      <c r="F227" s="307"/>
      <c r="G227" s="307"/>
      <c r="H227" s="308"/>
    </row>
    <row r="228" spans="1:12" x14ac:dyDescent="0.25">
      <c r="A228" s="75"/>
      <c r="B228" s="304" t="s">
        <v>437</v>
      </c>
      <c r="C228" s="304"/>
      <c r="D228" s="304"/>
      <c r="E228" s="304"/>
      <c r="F228" s="304"/>
      <c r="G228" s="304"/>
      <c r="H228" s="305"/>
    </row>
    <row r="229" spans="1:12" ht="30" x14ac:dyDescent="0.25">
      <c r="A229" s="63" t="s">
        <v>289</v>
      </c>
      <c r="B229" s="50" t="s">
        <v>470</v>
      </c>
      <c r="C229" s="52" t="s">
        <v>471</v>
      </c>
      <c r="D229" s="52" t="s">
        <v>472</v>
      </c>
      <c r="E229" s="257" t="s">
        <v>440</v>
      </c>
      <c r="F229" s="27">
        <v>10000</v>
      </c>
      <c r="G229" s="48" t="s">
        <v>561</v>
      </c>
      <c r="H229" s="266" t="s">
        <v>606</v>
      </c>
    </row>
    <row r="230" spans="1:12" ht="105" x14ac:dyDescent="0.25">
      <c r="A230" s="256" t="s">
        <v>473</v>
      </c>
      <c r="B230" s="44" t="s">
        <v>475</v>
      </c>
      <c r="C230" s="44" t="s">
        <v>476</v>
      </c>
      <c r="D230" s="44" t="s">
        <v>477</v>
      </c>
      <c r="E230" s="257" t="s">
        <v>448</v>
      </c>
      <c r="F230" s="27">
        <v>10000</v>
      </c>
      <c r="G230" s="257" t="s">
        <v>562</v>
      </c>
      <c r="H230" s="266" t="s">
        <v>607</v>
      </c>
    </row>
    <row r="231" spans="1:12" s="155" customFormat="1" x14ac:dyDescent="0.25">
      <c r="A231" s="256" t="s">
        <v>474</v>
      </c>
      <c r="B231" s="85" t="s">
        <v>478</v>
      </c>
      <c r="C231" s="85" t="s">
        <v>479</v>
      </c>
      <c r="D231" s="30" t="s">
        <v>480</v>
      </c>
      <c r="E231" s="85" t="s">
        <v>523</v>
      </c>
      <c r="F231" s="27">
        <v>20000</v>
      </c>
      <c r="G231" s="85" t="s">
        <v>481</v>
      </c>
      <c r="H231" s="85"/>
      <c r="J231" s="179"/>
    </row>
    <row r="232" spans="1:12" x14ac:dyDescent="0.25">
      <c r="A232" s="164">
        <v>5.5</v>
      </c>
      <c r="B232" s="306" t="s">
        <v>482</v>
      </c>
      <c r="C232" s="307"/>
      <c r="D232" s="307"/>
      <c r="E232" s="307"/>
      <c r="F232" s="307"/>
      <c r="G232" s="307"/>
      <c r="H232" s="308"/>
      <c r="I232" s="180"/>
      <c r="J232" s="180"/>
      <c r="K232" s="103"/>
      <c r="L232" s="103"/>
    </row>
    <row r="233" spans="1:12" x14ac:dyDescent="0.25">
      <c r="A233" s="75"/>
      <c r="B233" s="304" t="s">
        <v>437</v>
      </c>
      <c r="C233" s="304"/>
      <c r="D233" s="304"/>
      <c r="E233" s="304"/>
      <c r="F233" s="304"/>
      <c r="G233" s="304"/>
      <c r="H233" s="305"/>
      <c r="I233" s="180"/>
      <c r="J233" s="180"/>
      <c r="K233" s="103"/>
      <c r="L233" s="103"/>
    </row>
    <row r="234" spans="1:12" s="200" customFormat="1" x14ac:dyDescent="0.25">
      <c r="A234" s="269" t="s">
        <v>290</v>
      </c>
      <c r="B234" s="84" t="s">
        <v>483</v>
      </c>
      <c r="C234" s="204" t="s">
        <v>484</v>
      </c>
      <c r="D234" s="94" t="s">
        <v>485</v>
      </c>
      <c r="E234" s="204"/>
      <c r="F234" s="27">
        <v>5000</v>
      </c>
      <c r="G234" s="204" t="s">
        <v>486</v>
      </c>
      <c r="H234" s="266" t="s">
        <v>606</v>
      </c>
      <c r="J234" s="206"/>
      <c r="K234" s="207"/>
      <c r="L234" s="207"/>
    </row>
    <row r="235" spans="1:12" s="193" customFormat="1" ht="60" x14ac:dyDescent="0.25">
      <c r="A235" s="269" t="s">
        <v>291</v>
      </c>
      <c r="B235" s="94" t="s">
        <v>487</v>
      </c>
      <c r="C235" s="94" t="s">
        <v>488</v>
      </c>
      <c r="D235" s="94" t="s">
        <v>489</v>
      </c>
      <c r="E235" s="94" t="s">
        <v>340</v>
      </c>
      <c r="F235" s="27">
        <v>40000</v>
      </c>
      <c r="G235" s="94" t="s">
        <v>490</v>
      </c>
      <c r="H235" s="266" t="s">
        <v>606</v>
      </c>
      <c r="J235" s="208"/>
      <c r="K235" s="99"/>
      <c r="L235" s="99"/>
    </row>
    <row r="236" spans="1:12" s="193" customFormat="1" ht="60" x14ac:dyDescent="0.25">
      <c r="A236" s="269" t="s">
        <v>292</v>
      </c>
      <c r="B236" s="270" t="s">
        <v>491</v>
      </c>
      <c r="C236" s="260" t="s">
        <v>492</v>
      </c>
      <c r="D236" s="260" t="s">
        <v>493</v>
      </c>
      <c r="E236" s="271" t="s">
        <v>340</v>
      </c>
      <c r="F236" s="250">
        <v>10000</v>
      </c>
      <c r="G236" s="271" t="s">
        <v>494</v>
      </c>
      <c r="H236" s="266" t="s">
        <v>606</v>
      </c>
      <c r="J236" s="208"/>
      <c r="K236" s="99"/>
      <c r="L236" s="99"/>
    </row>
    <row r="237" spans="1:12" s="193" customFormat="1" ht="45.75" thickBot="1" x14ac:dyDescent="0.3">
      <c r="A237" s="269" t="s">
        <v>563</v>
      </c>
      <c r="B237" s="272" t="s">
        <v>495</v>
      </c>
      <c r="C237" s="260" t="s">
        <v>496</v>
      </c>
      <c r="D237" s="260" t="s">
        <v>497</v>
      </c>
      <c r="E237" s="271" t="s">
        <v>525</v>
      </c>
      <c r="F237" s="250">
        <v>15000</v>
      </c>
      <c r="G237" s="271" t="s">
        <v>498</v>
      </c>
      <c r="H237" s="266" t="s">
        <v>606</v>
      </c>
      <c r="J237" s="208"/>
      <c r="K237" s="99"/>
      <c r="L237" s="99"/>
    </row>
    <row r="238" spans="1:12" s="193" customFormat="1" ht="15.75" thickBot="1" x14ac:dyDescent="0.3">
      <c r="A238" s="337" t="s">
        <v>608</v>
      </c>
      <c r="B238" s="338"/>
      <c r="C238" s="221"/>
      <c r="D238" s="221"/>
      <c r="E238" s="221"/>
      <c r="F238" s="222">
        <f>SUM(F195:F237)</f>
        <v>814700</v>
      </c>
      <c r="G238" s="221"/>
      <c r="H238" s="223"/>
      <c r="J238" s="208"/>
      <c r="K238" s="99"/>
      <c r="L238" s="99"/>
    </row>
    <row r="239" spans="1:12" s="193" customFormat="1" x14ac:dyDescent="0.25">
      <c r="A239" s="210"/>
      <c r="B239" s="95"/>
      <c r="C239" s="96"/>
      <c r="D239" s="94"/>
      <c r="E239" s="94"/>
      <c r="F239" s="205"/>
      <c r="G239" s="94"/>
      <c r="H239" s="209"/>
      <c r="J239" s="208"/>
      <c r="K239" s="99"/>
      <c r="L239" s="99"/>
    </row>
    <row r="240" spans="1:12" ht="15.75" thickBot="1" x14ac:dyDescent="0.3">
      <c r="A240" s="184"/>
      <c r="B240" s="181"/>
      <c r="C240" s="182"/>
      <c r="D240" s="180"/>
      <c r="E240" s="180"/>
      <c r="F240" s="180"/>
      <c r="G240" s="180"/>
      <c r="H240" s="180"/>
      <c r="I240" s="180"/>
      <c r="J240" s="183"/>
      <c r="K240" s="103"/>
      <c r="L240" s="103"/>
    </row>
    <row r="241" spans="1:12" ht="16.5" thickBot="1" x14ac:dyDescent="0.3">
      <c r="A241" s="185" t="s">
        <v>433</v>
      </c>
      <c r="B241" s="186"/>
      <c r="C241" s="187"/>
      <c r="D241" s="187"/>
      <c r="E241" s="187"/>
      <c r="F241" s="226">
        <f>SUM(F52+F100+F156+F187+F238)</f>
        <v>4816940</v>
      </c>
      <c r="G241" s="187"/>
      <c r="H241" s="188"/>
      <c r="I241" s="180"/>
      <c r="K241" s="103"/>
      <c r="L241" s="103"/>
    </row>
    <row r="242" spans="1:12" s="278" customFormat="1" ht="16.5" thickBot="1" x14ac:dyDescent="0.3">
      <c r="A242" s="282" t="s">
        <v>609</v>
      </c>
      <c r="B242" s="283"/>
      <c r="C242" s="284"/>
      <c r="D242" s="284"/>
      <c r="E242" s="284"/>
      <c r="F242" s="285">
        <v>1724138</v>
      </c>
      <c r="G242" s="284"/>
      <c r="H242" s="286"/>
      <c r="I242" s="180"/>
      <c r="K242" s="103"/>
      <c r="L242" s="103"/>
    </row>
    <row r="243" spans="1:12" ht="16.5" thickBot="1" x14ac:dyDescent="0.3">
      <c r="A243" s="189" t="s">
        <v>613</v>
      </c>
      <c r="B243" s="190"/>
      <c r="C243" s="190"/>
      <c r="D243" s="190"/>
      <c r="E243" s="190"/>
      <c r="F243" s="227">
        <f>SUM(F240:F242)</f>
        <v>6541078</v>
      </c>
      <c r="G243" s="191"/>
      <c r="H243" s="192"/>
      <c r="K243" s="278"/>
    </row>
    <row r="245" spans="1:12" x14ac:dyDescent="0.25">
      <c r="A245" s="288" t="s">
        <v>611</v>
      </c>
    </row>
    <row r="249" spans="1:12" x14ac:dyDescent="0.25">
      <c r="C249" s="103"/>
      <c r="D249" s="103"/>
      <c r="E249" s="103"/>
      <c r="F249" s="103"/>
      <c r="G249" s="105"/>
    </row>
    <row r="250" spans="1:12" x14ac:dyDescent="0.25">
      <c r="C250" s="289"/>
      <c r="D250" s="290"/>
      <c r="E250" s="291"/>
      <c r="F250" s="103"/>
      <c r="G250" s="291"/>
    </row>
    <row r="251" spans="1:12" x14ac:dyDescent="0.25">
      <c r="C251" s="289"/>
      <c r="D251" s="290"/>
      <c r="E251" s="291"/>
      <c r="F251" s="103"/>
      <c r="G251" s="291"/>
    </row>
    <row r="252" spans="1:12" x14ac:dyDescent="0.25">
      <c r="C252" s="289"/>
      <c r="D252" s="290"/>
      <c r="E252" s="291"/>
      <c r="F252" s="103"/>
      <c r="G252" s="291"/>
    </row>
    <row r="253" spans="1:12" x14ac:dyDescent="0.25">
      <c r="C253" s="289"/>
      <c r="D253" s="290"/>
      <c r="E253" s="291"/>
      <c r="F253" s="103"/>
      <c r="G253" s="291"/>
    </row>
    <row r="254" spans="1:12" x14ac:dyDescent="0.25">
      <c r="C254" s="289"/>
      <c r="D254" s="290"/>
      <c r="E254" s="291"/>
      <c r="F254" s="103"/>
      <c r="G254" s="291"/>
    </row>
    <row r="255" spans="1:12" x14ac:dyDescent="0.25">
      <c r="C255" s="292"/>
      <c r="D255" s="290"/>
      <c r="E255" s="293"/>
      <c r="F255" s="103"/>
      <c r="G255" s="291"/>
    </row>
    <row r="256" spans="1:12" x14ac:dyDescent="0.25">
      <c r="C256" s="294"/>
      <c r="D256" s="290"/>
      <c r="E256" s="103"/>
      <c r="F256" s="103"/>
      <c r="G256" s="105"/>
    </row>
    <row r="257" spans="3:7" x14ac:dyDescent="0.25">
      <c r="C257" s="294"/>
      <c r="D257" s="290"/>
      <c r="E257" s="103"/>
      <c r="F257" s="103"/>
      <c r="G257" s="105"/>
    </row>
    <row r="258" spans="3:7" x14ac:dyDescent="0.25">
      <c r="D258" s="287"/>
    </row>
  </sheetData>
  <mergeCells count="77">
    <mergeCell ref="B222:H222"/>
    <mergeCell ref="B212:H212"/>
    <mergeCell ref="B213:H213"/>
    <mergeCell ref="B214:H214"/>
    <mergeCell ref="B216:H216"/>
    <mergeCell ref="B217:H217"/>
    <mergeCell ref="B232:H232"/>
    <mergeCell ref="B227:H227"/>
    <mergeCell ref="B228:H228"/>
    <mergeCell ref="B218:H218"/>
    <mergeCell ref="A238:B238"/>
    <mergeCell ref="A52:B52"/>
    <mergeCell ref="A100:B100"/>
    <mergeCell ref="A156:B156"/>
    <mergeCell ref="A187:B187"/>
    <mergeCell ref="B183:H183"/>
    <mergeCell ref="B184:H184"/>
    <mergeCell ref="B55:H55"/>
    <mergeCell ref="B60:H60"/>
    <mergeCell ref="B96:H96"/>
    <mergeCell ref="B86:H86"/>
    <mergeCell ref="B87:H87"/>
    <mergeCell ref="B95:H95"/>
    <mergeCell ref="B205:H205"/>
    <mergeCell ref="B207:H207"/>
    <mergeCell ref="B206:H206"/>
    <mergeCell ref="B114:H114"/>
    <mergeCell ref="B191:H191"/>
    <mergeCell ref="B180:H180"/>
    <mergeCell ref="B175:H175"/>
    <mergeCell ref="B233:H233"/>
    <mergeCell ref="B192:H192"/>
    <mergeCell ref="B128:H128"/>
    <mergeCell ref="B143:H143"/>
    <mergeCell ref="B149:H149"/>
    <mergeCell ref="B133:H133"/>
    <mergeCell ref="B142:H142"/>
    <mergeCell ref="B129:H129"/>
    <mergeCell ref="B132:H132"/>
    <mergeCell ref="G144:G147"/>
    <mergeCell ref="B193:H193"/>
    <mergeCell ref="B27:H27"/>
    <mergeCell ref="B3:H3"/>
    <mergeCell ref="B4:H4"/>
    <mergeCell ref="B6:H6"/>
    <mergeCell ref="B8:H8"/>
    <mergeCell ref="B18:H18"/>
    <mergeCell ref="B19:H19"/>
    <mergeCell ref="B10:H10"/>
    <mergeCell ref="B15:H15"/>
    <mergeCell ref="B64:H64"/>
    <mergeCell ref="B65:H65"/>
    <mergeCell ref="B66:H66"/>
    <mergeCell ref="B67:H67"/>
    <mergeCell ref="B54:H54"/>
    <mergeCell ref="B79:H79"/>
    <mergeCell ref="B9:H9"/>
    <mergeCell ref="B22:H22"/>
    <mergeCell ref="B32:H32"/>
    <mergeCell ref="B37:H37"/>
    <mergeCell ref="B42:H42"/>
    <mergeCell ref="B189:H189"/>
    <mergeCell ref="B68:H68"/>
    <mergeCell ref="B77:H77"/>
    <mergeCell ref="B158:H158"/>
    <mergeCell ref="B162:H162"/>
    <mergeCell ref="B150:H150"/>
    <mergeCell ref="B115:H115"/>
    <mergeCell ref="B116:H116"/>
    <mergeCell ref="B179:H179"/>
    <mergeCell ref="B170:H170"/>
    <mergeCell ref="B174:H174"/>
    <mergeCell ref="B160:H160"/>
    <mergeCell ref="B161:H161"/>
    <mergeCell ref="B78:H78"/>
    <mergeCell ref="B102:H102"/>
    <mergeCell ref="B113:H113"/>
  </mergeCells>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1" sqref="B41"/>
    </sheetView>
  </sheetViews>
  <sheetFormatPr defaultRowHeight="15"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2012 WP Budget</vt:lpstr>
      <vt:lpstr>Sheet2</vt:lpstr>
      <vt:lpstr>'2012 WP Budget'!Print_Titles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Amini Mucunabitu</dc:creator>
  <cp:lastModifiedBy>ncassidy</cp:lastModifiedBy>
  <cp:lastPrinted>2011-11-16T23:30:01Z</cp:lastPrinted>
  <dcterms:created xsi:type="dcterms:W3CDTF">2011-08-07T23:27:11Z</dcterms:created>
  <dcterms:modified xsi:type="dcterms:W3CDTF">2012-05-03T07:44:08Z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1afLFsecmR4o6eSqFMjW4S0x2F2hfL15xeKC4vPFiZA4</vt:lpwstr>
  </property>
  <property fmtid="{D5CDD505-2E9C-101B-9397-08002B2CF9AE}" pid="4" name="Google.Documents.RevisionId">
    <vt:lpwstr>07078078227942092891</vt:lpwstr>
  </property>
  <property fmtid="{D5CDD505-2E9C-101B-9397-08002B2CF9AE}" pid="5" name="Google.Documents.PreviousRevisionId">
    <vt:lpwstr>02138708755963134399</vt:lpwstr>
  </property>
  <property fmtid="{D5CDD505-2E9C-101B-9397-08002B2CF9AE}" pid="6" name="Google.Documents.PluginVersion">
    <vt:lpwstr>2.0.2154.5604</vt:lpwstr>
  </property>
  <property fmtid="{D5CDD505-2E9C-101B-9397-08002B2CF9AE}" pid="7" name="Google.Documents.MergeIncapabilityFlags">
    <vt:i4>0</vt:i4>
  </property>
</Properties>
</file>